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fy7pn.ONSEMI\Documents\Datasheets\ON\automotive\PWM\NCV8871\iMIT\"/>
    </mc:Choice>
  </mc:AlternateContent>
  <workbookProtection workbookPassword="F725" lockStructure="1"/>
  <bookViews>
    <workbookView xWindow="240" yWindow="105" windowWidth="14805" windowHeight="8010"/>
  </bookViews>
  <sheets>
    <sheet name="1. Introduction" sheetId="1" r:id="rId1"/>
    <sheet name="2. Design Parameters" sheetId="2" r:id="rId2"/>
    <sheet name="3. Feedback Resistors" sheetId="3" r:id="rId3"/>
    <sheet name="4. Boost Inductor" sheetId="4" r:id="rId4"/>
    <sheet name="5. Current Sense Resistor" sheetId="5" r:id="rId5"/>
    <sheet name="6. Output Capacitors" sheetId="6" r:id="rId6"/>
    <sheet name="Input Capacitor" sheetId="7" state="hidden" r:id="rId7"/>
    <sheet name="7. Diode" sheetId="8" r:id="rId8"/>
    <sheet name="8. MOSFET" sheetId="9" r:id="rId9"/>
    <sheet name="9. Loop Compensation" sheetId="10" r:id="rId10"/>
    <sheet name="Design Information" sheetId="11" state="hidden" r:id="rId11"/>
    <sheet name="Calculations" sheetId="12" state="hidden" r:id="rId12"/>
  </sheets>
  <definedNames>
    <definedName name="C0">'9. Loop Compensation'!$T$15</definedName>
    <definedName name="comp_C1">'9. Loop Compensation'!$T$23</definedName>
    <definedName name="comp_C2">'9. Loop Compensation'!$T$24</definedName>
    <definedName name="comp_R2">'9. Loop Compensation'!$B$8</definedName>
    <definedName name="Dconv_max">Calculations!$D$2</definedName>
    <definedName name="Dmax_min">'2. Design Parameters'!$B$8</definedName>
    <definedName name="Dmax_nom">'2. Design Parameters'!$C$8</definedName>
    <definedName name="Fsw_max">'2. Design Parameters'!$D$6</definedName>
    <definedName name="Fsw_min">'2. Design Parameters'!$B$6</definedName>
    <definedName name="Fsw_nom">'2. Design Parameters'!$C$6</definedName>
    <definedName name="gm">'9. Loop Compensation'!$T$18</definedName>
    <definedName name="IavgL">'4. Boost Inductor'!$B$3</definedName>
    <definedName name="Ioutmax">'2. Design Parameters'!$D$5</definedName>
    <definedName name="IPeakL">'4. Boost Inductor'!$E$3</definedName>
    <definedName name="Iripple">'4. Boost Inductor'!$B$8</definedName>
    <definedName name="IrmsL">'4. Boost Inductor'!$E$2</definedName>
    <definedName name="Lo">'4. Boost Inductor'!$B$11</definedName>
    <definedName name="R0">'9. Loop Compensation'!$T$16</definedName>
    <definedName name="Rlower">'3. Feedback Resistors'!$D$8</definedName>
    <definedName name="Rotaesd">'9. Loop Compensation'!$T$17</definedName>
    <definedName name="Rout">'9. Loop Compensation'!$T$6</definedName>
    <definedName name="Rupper">'3. Feedback Resistors'!$D$7</definedName>
    <definedName name="SC_nom">'2. Design Parameters'!$C$7</definedName>
    <definedName name="Tsw">Calculations!$C$3</definedName>
    <definedName name="vcl_max">'2. Design Parameters'!$D$10</definedName>
    <definedName name="vcl_min">'2. Design Parameters'!$B$10</definedName>
    <definedName name="vcl_nom">'2. Design Parameters'!$C$10</definedName>
    <definedName name="Vdrv_nom">'2. Design Parameters'!$C$9</definedName>
    <definedName name="Vf">'7. Diode'!$B$1</definedName>
    <definedName name="Vin_max">'2. Design Parameters'!$D$3</definedName>
    <definedName name="Vin_min">'2. Design Parameters'!$B$3</definedName>
    <definedName name="Vin_nominal">'2. Design Parameters'!$C$3</definedName>
    <definedName name="Vout">'2. Design Parameters'!$C$4</definedName>
    <definedName name="wp1e">'9. Loop Compensation'!$T$21</definedName>
    <definedName name="wp2e">'9. Loop Compensation'!$T$22</definedName>
    <definedName name="wz1e">'9. Loop Compensation'!$T$19</definedName>
    <definedName name="wz2e">'9. Loop Compensation'!$T$20</definedName>
  </definedNames>
  <calcPr calcId="152511"/>
  <customWorkbookViews>
    <customWorkbookView name="ffx7zn - Personal View" guid="{25ED444C-8CCE-464F-9E26-1EDA12EA830D}" mergeInterval="0" personalView="1" maximized="1" xWindow="1" yWindow="1" windowWidth="1481" windowHeight="859" activeSheetId="10"/>
  </customWorkbookViews>
</workbook>
</file>

<file path=xl/calcChain.xml><?xml version="1.0" encoding="utf-8"?>
<calcChain xmlns="http://schemas.openxmlformats.org/spreadsheetml/2006/main">
  <c r="B5" i="10" l="1"/>
  <c r="T24" i="10" l="1"/>
  <c r="T23" i="10"/>
  <c r="T16" i="10"/>
  <c r="T15" i="10"/>
  <c r="T19" i="10" l="1"/>
  <c r="T20" i="10"/>
  <c r="T21" i="10"/>
  <c r="T22" i="10"/>
  <c r="E4" i="10" l="1"/>
  <c r="B14" i="10"/>
  <c r="B13" i="10"/>
  <c r="B12" i="10"/>
  <c r="D8" i="3"/>
  <c r="AK2" i="10" s="1"/>
  <c r="D7" i="3"/>
  <c r="Z3" i="10"/>
  <c r="AA3" i="10" s="1"/>
  <c r="Z4" i="10"/>
  <c r="AA4" i="10" s="1"/>
  <c r="Z5" i="10"/>
  <c r="AA5" i="10" s="1"/>
  <c r="Z6" i="10"/>
  <c r="AA6" i="10" s="1"/>
  <c r="Z7" i="10"/>
  <c r="AA7" i="10" s="1"/>
  <c r="Z8" i="10"/>
  <c r="AA8" i="10" s="1"/>
  <c r="Z9" i="10"/>
  <c r="AA9" i="10" s="1"/>
  <c r="Z10" i="10"/>
  <c r="AA10" i="10" s="1"/>
  <c r="Z11" i="10"/>
  <c r="AA11" i="10" s="1"/>
  <c r="Z12" i="10"/>
  <c r="AA12" i="10" s="1"/>
  <c r="Z13" i="10"/>
  <c r="AA13" i="10" s="1"/>
  <c r="Z14" i="10"/>
  <c r="AA14" i="10" s="1"/>
  <c r="Z15" i="10"/>
  <c r="AA15" i="10" s="1"/>
  <c r="Z16" i="10"/>
  <c r="AA16" i="10" s="1"/>
  <c r="Z17" i="10"/>
  <c r="AA17" i="10" s="1"/>
  <c r="Z18" i="10"/>
  <c r="AA18" i="10" s="1"/>
  <c r="Z19" i="10"/>
  <c r="AA19" i="10" s="1"/>
  <c r="Z20" i="10"/>
  <c r="AA20" i="10" s="1"/>
  <c r="Z21" i="10"/>
  <c r="AA21" i="10" s="1"/>
  <c r="Z22" i="10"/>
  <c r="AA22" i="10" s="1"/>
  <c r="Z23" i="10"/>
  <c r="AA23" i="10" s="1"/>
  <c r="Z24" i="10"/>
  <c r="AA24" i="10" s="1"/>
  <c r="Z25" i="10"/>
  <c r="AA25" i="10" s="1"/>
  <c r="Z26" i="10"/>
  <c r="AA26" i="10" s="1"/>
  <c r="Z27" i="10"/>
  <c r="AA27" i="10" s="1"/>
  <c r="Z28" i="10"/>
  <c r="AA28" i="10" s="1"/>
  <c r="Z29" i="10"/>
  <c r="AA29" i="10" s="1"/>
  <c r="Z30" i="10"/>
  <c r="AA30" i="10" s="1"/>
  <c r="Z31" i="10"/>
  <c r="AA31" i="10" s="1"/>
  <c r="Z32" i="10"/>
  <c r="AA32" i="10" s="1"/>
  <c r="Z33" i="10"/>
  <c r="AA33" i="10" s="1"/>
  <c r="Z34" i="10"/>
  <c r="AA34" i="10" s="1"/>
  <c r="Z35" i="10"/>
  <c r="AA35" i="10" s="1"/>
  <c r="Z36" i="10"/>
  <c r="AA36" i="10" s="1"/>
  <c r="Z37" i="10"/>
  <c r="AA37" i="10" s="1"/>
  <c r="Z38" i="10"/>
  <c r="AA38" i="10" s="1"/>
  <c r="Z39" i="10"/>
  <c r="AA39" i="10" s="1"/>
  <c r="Z40" i="10"/>
  <c r="AA40" i="10" s="1"/>
  <c r="Z41" i="10"/>
  <c r="AA41" i="10" s="1"/>
  <c r="Z42" i="10"/>
  <c r="AA42" i="10" s="1"/>
  <c r="Z43" i="10"/>
  <c r="AA43" i="10" s="1"/>
  <c r="Z44" i="10"/>
  <c r="AA44" i="10" s="1"/>
  <c r="Z45" i="10"/>
  <c r="AA45" i="10" s="1"/>
  <c r="Z46" i="10"/>
  <c r="AA46" i="10" s="1"/>
  <c r="Z47" i="10"/>
  <c r="AA47" i="10" s="1"/>
  <c r="Z48" i="10"/>
  <c r="AA48" i="10" s="1"/>
  <c r="Z49" i="10"/>
  <c r="AA49" i="10" s="1"/>
  <c r="Z50" i="10"/>
  <c r="AA50" i="10" s="1"/>
  <c r="Z51" i="10"/>
  <c r="AA51" i="10" s="1"/>
  <c r="Z52" i="10"/>
  <c r="AA52" i="10" s="1"/>
  <c r="Z53" i="10"/>
  <c r="AA53" i="10" s="1"/>
  <c r="Z54" i="10"/>
  <c r="AA54" i="10" s="1"/>
  <c r="Z55" i="10"/>
  <c r="AA55" i="10" s="1"/>
  <c r="Z56" i="10"/>
  <c r="AA56" i="10" s="1"/>
  <c r="Z57" i="10"/>
  <c r="AA57" i="10" s="1"/>
  <c r="Z58" i="10"/>
  <c r="AA58" i="10" s="1"/>
  <c r="Z59" i="10"/>
  <c r="AA59" i="10" s="1"/>
  <c r="Z60" i="10"/>
  <c r="AA60" i="10" s="1"/>
  <c r="Z61" i="10"/>
  <c r="AA61" i="10" s="1"/>
  <c r="Z62" i="10"/>
  <c r="AA62" i="10" s="1"/>
  <c r="Z63" i="10"/>
  <c r="AA63" i="10" s="1"/>
  <c r="Z64" i="10"/>
  <c r="AA64" i="10" s="1"/>
  <c r="Z65" i="10"/>
  <c r="AA65" i="10" s="1"/>
  <c r="Z66" i="10"/>
  <c r="AA66" i="10" s="1"/>
  <c r="Z67" i="10"/>
  <c r="AA67" i="10" s="1"/>
  <c r="Z68" i="10"/>
  <c r="AA68" i="10" s="1"/>
  <c r="Z69" i="10"/>
  <c r="AA69" i="10" s="1"/>
  <c r="Z70" i="10"/>
  <c r="AA70" i="10" s="1"/>
  <c r="Z71" i="10"/>
  <c r="AA71" i="10" s="1"/>
  <c r="Z72" i="10"/>
  <c r="AA72" i="10" s="1"/>
  <c r="Z73" i="10"/>
  <c r="AA73" i="10" s="1"/>
  <c r="Z74" i="10"/>
  <c r="AA74" i="10" s="1"/>
  <c r="Z75" i="10"/>
  <c r="AA75" i="10" s="1"/>
  <c r="Z76" i="10"/>
  <c r="AA76" i="10" s="1"/>
  <c r="Z77" i="10"/>
  <c r="AA77" i="10" s="1"/>
  <c r="Z78" i="10"/>
  <c r="AA78" i="10" s="1"/>
  <c r="Z79" i="10"/>
  <c r="AA79" i="10" s="1"/>
  <c r="Z80" i="10"/>
  <c r="AA80" i="10" s="1"/>
  <c r="Z81" i="10"/>
  <c r="AA81" i="10" s="1"/>
  <c r="Z82" i="10"/>
  <c r="AA82" i="10" s="1"/>
  <c r="Z83" i="10"/>
  <c r="AA83" i="10" s="1"/>
  <c r="Z84" i="10"/>
  <c r="AA84" i="10" s="1"/>
  <c r="Z85" i="10"/>
  <c r="AA85" i="10" s="1"/>
  <c r="Z86" i="10"/>
  <c r="AA86" i="10" s="1"/>
  <c r="Z87" i="10"/>
  <c r="AA87" i="10" s="1"/>
  <c r="Z88" i="10"/>
  <c r="AA88" i="10" s="1"/>
  <c r="Z89" i="10"/>
  <c r="AA89" i="10" s="1"/>
  <c r="Z90" i="10"/>
  <c r="AA90" i="10" s="1"/>
  <c r="Z91" i="10"/>
  <c r="AA91" i="10" s="1"/>
  <c r="Z92" i="10"/>
  <c r="AA92" i="10" s="1"/>
  <c r="Z93" i="10"/>
  <c r="AA93" i="10" s="1"/>
  <c r="Z94" i="10"/>
  <c r="AA94" i="10" s="1"/>
  <c r="Z95" i="10"/>
  <c r="AA95" i="10" s="1"/>
  <c r="Z96" i="10"/>
  <c r="AA96" i="10" s="1"/>
  <c r="Z97" i="10"/>
  <c r="AA97" i="10" s="1"/>
  <c r="Z98" i="10"/>
  <c r="AA98" i="10" s="1"/>
  <c r="Z99" i="10"/>
  <c r="AA99" i="10" s="1"/>
  <c r="Z100" i="10"/>
  <c r="AA100" i="10" s="1"/>
  <c r="Z101" i="10"/>
  <c r="AA101" i="10" s="1"/>
  <c r="Z102" i="10"/>
  <c r="AA102" i="10" s="1"/>
  <c r="Z103" i="10"/>
  <c r="AA103" i="10" s="1"/>
  <c r="Z104" i="10"/>
  <c r="AA104" i="10" s="1"/>
  <c r="Z105" i="10"/>
  <c r="AA105" i="10" s="1"/>
  <c r="Z106" i="10"/>
  <c r="AA106" i="10" s="1"/>
  <c r="Z107" i="10"/>
  <c r="AA107" i="10" s="1"/>
  <c r="Z108" i="10"/>
  <c r="AA108" i="10" s="1"/>
  <c r="Z109" i="10"/>
  <c r="AA109" i="10" s="1"/>
  <c r="Z110" i="10"/>
  <c r="AA110" i="10" s="1"/>
  <c r="Z111" i="10"/>
  <c r="AA111" i="10" s="1"/>
  <c r="Z112" i="10"/>
  <c r="AA112" i="10" s="1"/>
  <c r="Z113" i="10"/>
  <c r="AA113" i="10" s="1"/>
  <c r="Z114" i="10"/>
  <c r="AA114" i="10" s="1"/>
  <c r="Z115" i="10"/>
  <c r="AA115" i="10" s="1"/>
  <c r="Z116" i="10"/>
  <c r="AA116" i="10" s="1"/>
  <c r="Z117" i="10"/>
  <c r="AA117" i="10" s="1"/>
  <c r="Z118" i="10"/>
  <c r="AA118" i="10" s="1"/>
  <c r="Z119" i="10"/>
  <c r="AA119" i="10" s="1"/>
  <c r="Z120" i="10"/>
  <c r="AA120" i="10" s="1"/>
  <c r="Z121" i="10"/>
  <c r="AA121" i="10" s="1"/>
  <c r="Z122" i="10"/>
  <c r="AA122" i="10" s="1"/>
  <c r="Z123" i="10"/>
  <c r="AA123" i="10" s="1"/>
  <c r="Z124" i="10"/>
  <c r="AA124" i="10" s="1"/>
  <c r="Z125" i="10"/>
  <c r="AA125" i="10" s="1"/>
  <c r="Z126" i="10"/>
  <c r="AA126" i="10" s="1"/>
  <c r="Z127" i="10"/>
  <c r="AA127" i="10" s="1"/>
  <c r="Z128" i="10"/>
  <c r="AA128" i="10" s="1"/>
  <c r="Z129" i="10"/>
  <c r="AA129" i="10" s="1"/>
  <c r="Z130" i="10"/>
  <c r="AA130" i="10" s="1"/>
  <c r="Z131" i="10"/>
  <c r="AA131" i="10" s="1"/>
  <c r="Z132" i="10"/>
  <c r="AA132" i="10" s="1"/>
  <c r="Z133" i="10"/>
  <c r="AA133" i="10" s="1"/>
  <c r="Z134" i="10"/>
  <c r="AA134" i="10" s="1"/>
  <c r="Z135" i="10"/>
  <c r="AA135" i="10" s="1"/>
  <c r="Z136" i="10"/>
  <c r="AA136" i="10" s="1"/>
  <c r="Z137" i="10"/>
  <c r="AA137" i="10" s="1"/>
  <c r="Z138" i="10"/>
  <c r="AA138" i="10" s="1"/>
  <c r="Z139" i="10"/>
  <c r="AA139" i="10" s="1"/>
  <c r="Z140" i="10"/>
  <c r="AA140" i="10" s="1"/>
  <c r="Z141" i="10"/>
  <c r="AA141" i="10" s="1"/>
  <c r="Z142" i="10"/>
  <c r="AA142" i="10" s="1"/>
  <c r="Z143" i="10"/>
  <c r="AA143" i="10" s="1"/>
  <c r="Z144" i="10"/>
  <c r="AA144" i="10" s="1"/>
  <c r="Z145" i="10"/>
  <c r="AA145" i="10" s="1"/>
  <c r="Z146" i="10"/>
  <c r="AA146" i="10" s="1"/>
  <c r="Z147" i="10"/>
  <c r="AA147" i="10" s="1"/>
  <c r="Z148" i="10"/>
  <c r="AA148" i="10" s="1"/>
  <c r="Z149" i="10"/>
  <c r="AA149" i="10" s="1"/>
  <c r="Z150" i="10"/>
  <c r="AA150" i="10" s="1"/>
  <c r="Z151" i="10"/>
  <c r="AA151" i="10" s="1"/>
  <c r="Z152" i="10"/>
  <c r="AA152" i="10" s="1"/>
  <c r="Z153" i="10"/>
  <c r="AA153" i="10" s="1"/>
  <c r="Z154" i="10"/>
  <c r="AA154" i="10" s="1"/>
  <c r="Z155" i="10"/>
  <c r="AA155" i="10" s="1"/>
  <c r="Z156" i="10"/>
  <c r="AA156" i="10" s="1"/>
  <c r="Z157" i="10"/>
  <c r="AA157" i="10" s="1"/>
  <c r="Z158" i="10"/>
  <c r="AA158" i="10" s="1"/>
  <c r="Z159" i="10"/>
  <c r="AA159" i="10" s="1"/>
  <c r="Z160" i="10"/>
  <c r="AA160" i="10" s="1"/>
  <c r="Z161" i="10"/>
  <c r="AA161" i="10" s="1"/>
  <c r="Z162" i="10"/>
  <c r="AA162" i="10" s="1"/>
  <c r="Z163" i="10"/>
  <c r="AA163" i="10" s="1"/>
  <c r="Z164" i="10"/>
  <c r="AA164" i="10" s="1"/>
  <c r="Z165" i="10"/>
  <c r="AA165" i="10" s="1"/>
  <c r="Z166" i="10"/>
  <c r="AA166" i="10" s="1"/>
  <c r="Z167" i="10"/>
  <c r="AA167" i="10" s="1"/>
  <c r="Z168" i="10"/>
  <c r="AA168" i="10" s="1"/>
  <c r="Z169" i="10"/>
  <c r="AA169" i="10" s="1"/>
  <c r="Z170" i="10"/>
  <c r="AA170" i="10" s="1"/>
  <c r="Z171" i="10"/>
  <c r="AA171" i="10" s="1"/>
  <c r="Z172" i="10"/>
  <c r="AA172" i="10" s="1"/>
  <c r="Z173" i="10"/>
  <c r="AA173" i="10" s="1"/>
  <c r="Z174" i="10"/>
  <c r="AA174" i="10" s="1"/>
  <c r="Z175" i="10"/>
  <c r="AA175" i="10" s="1"/>
  <c r="Z176" i="10"/>
  <c r="AA176" i="10" s="1"/>
  <c r="Z177" i="10"/>
  <c r="AA177" i="10" s="1"/>
  <c r="Z178" i="10"/>
  <c r="AA178" i="10" s="1"/>
  <c r="Z179" i="10"/>
  <c r="AA179" i="10" s="1"/>
  <c r="Z180" i="10"/>
  <c r="AA180" i="10" s="1"/>
  <c r="Z181" i="10"/>
  <c r="AA181" i="10" s="1"/>
  <c r="Z182" i="10"/>
  <c r="AA182" i="10" s="1"/>
  <c r="Z183" i="10"/>
  <c r="AA183" i="10" s="1"/>
  <c r="Z184" i="10"/>
  <c r="AA184" i="10" s="1"/>
  <c r="Z185" i="10"/>
  <c r="AA185" i="10" s="1"/>
  <c r="Z186" i="10"/>
  <c r="AA186" i="10" s="1"/>
  <c r="Z187" i="10"/>
  <c r="AA187" i="10" s="1"/>
  <c r="Z188" i="10"/>
  <c r="AA188" i="10" s="1"/>
  <c r="Z189" i="10"/>
  <c r="AA189" i="10" s="1"/>
  <c r="Z190" i="10"/>
  <c r="AA190" i="10" s="1"/>
  <c r="Z191" i="10"/>
  <c r="AA191" i="10" s="1"/>
  <c r="Z192" i="10"/>
  <c r="AA192" i="10" s="1"/>
  <c r="Z193" i="10"/>
  <c r="AA193" i="10" s="1"/>
  <c r="Z194" i="10"/>
  <c r="AA194" i="10" s="1"/>
  <c r="Z195" i="10"/>
  <c r="AA195" i="10" s="1"/>
  <c r="Z196" i="10"/>
  <c r="AA196" i="10" s="1"/>
  <c r="Z197" i="10"/>
  <c r="AA197" i="10" s="1"/>
  <c r="Z198" i="10"/>
  <c r="AA198" i="10" s="1"/>
  <c r="Z199" i="10"/>
  <c r="AA199" i="10" s="1"/>
  <c r="Z200" i="10"/>
  <c r="AA200" i="10" s="1"/>
  <c r="Z201" i="10"/>
  <c r="AA201" i="10" s="1"/>
  <c r="Z202" i="10"/>
  <c r="AA202" i="10" s="1"/>
  <c r="Z2" i="10"/>
  <c r="AA2" i="10" s="1"/>
  <c r="C3" i="12"/>
  <c r="B3" i="8"/>
  <c r="B5" i="8" s="1"/>
  <c r="B2" i="8"/>
  <c r="B3" i="9"/>
  <c r="D1" i="9"/>
  <c r="B4" i="6"/>
  <c r="C15" i="6"/>
  <c r="C14" i="6"/>
  <c r="B7" i="5"/>
  <c r="B6" i="5"/>
  <c r="D2" i="12"/>
  <c r="F8" i="2" s="1"/>
  <c r="B2" i="12"/>
  <c r="C2" i="12"/>
  <c r="B11" i="5"/>
  <c r="T7" i="10" s="1"/>
  <c r="B4" i="5"/>
  <c r="B3" i="4"/>
  <c r="B5" i="4" s="1"/>
  <c r="B8" i="4"/>
  <c r="B11" i="4"/>
  <c r="T4" i="10" s="1"/>
  <c r="B6" i="4"/>
  <c r="T2" i="10"/>
  <c r="W1" i="10" s="1"/>
  <c r="A8" i="3"/>
  <c r="B10" i="3"/>
  <c r="A9" i="3"/>
  <c r="B8" i="3"/>
  <c r="A7" i="3"/>
  <c r="T6" i="10"/>
  <c r="T3" i="10"/>
  <c r="T1" i="10"/>
  <c r="AM192" i="10" l="1"/>
  <c r="AL192" i="10"/>
  <c r="AN192" i="10" s="1"/>
  <c r="AM184" i="10"/>
  <c r="AL184" i="10"/>
  <c r="AN184" i="10" s="1"/>
  <c r="AL172" i="10"/>
  <c r="AM172" i="10"/>
  <c r="AL156" i="10"/>
  <c r="AM156" i="10"/>
  <c r="AM144" i="10"/>
  <c r="AL144" i="10"/>
  <c r="AN144" i="10" s="1"/>
  <c r="AM136" i="10"/>
  <c r="AL136" i="10"/>
  <c r="AN136" i="10" s="1"/>
  <c r="AL124" i="10"/>
  <c r="AM124" i="10"/>
  <c r="AM112" i="10"/>
  <c r="AL112" i="10"/>
  <c r="AN112" i="10" s="1"/>
  <c r="AL100" i="10"/>
  <c r="AM100" i="10"/>
  <c r="AM88" i="10"/>
  <c r="AL88" i="10"/>
  <c r="AN88" i="10" s="1"/>
  <c r="AL76" i="10"/>
  <c r="AM76" i="10"/>
  <c r="AM64" i="10"/>
  <c r="AL64" i="10"/>
  <c r="AN64" i="10" s="1"/>
  <c r="AM52" i="10"/>
  <c r="AL52" i="10"/>
  <c r="AN52" i="10" s="1"/>
  <c r="AM44" i="10"/>
  <c r="AL44" i="10"/>
  <c r="AN44" i="10" s="1"/>
  <c r="AM32" i="10"/>
  <c r="AL32" i="10"/>
  <c r="AN32" i="10" s="1"/>
  <c r="AM20" i="10"/>
  <c r="AL20" i="10"/>
  <c r="AN20" i="10" s="1"/>
  <c r="AM4" i="10"/>
  <c r="AL4" i="10"/>
  <c r="AN4" i="10" s="1"/>
  <c r="AM2" i="10"/>
  <c r="AL2" i="10"/>
  <c r="AN2" i="10" s="1"/>
  <c r="AM199" i="10"/>
  <c r="AL199" i="10"/>
  <c r="AM195" i="10"/>
  <c r="AL195" i="10"/>
  <c r="AN195" i="10" s="1"/>
  <c r="AM191" i="10"/>
  <c r="AL191" i="10"/>
  <c r="AN191" i="10" s="1"/>
  <c r="AM187" i="10"/>
  <c r="AL187" i="10"/>
  <c r="AN187" i="10" s="1"/>
  <c r="AM183" i="10"/>
  <c r="AL183" i="10"/>
  <c r="AM179" i="10"/>
  <c r="AL179" i="10"/>
  <c r="AN179" i="10" s="1"/>
  <c r="AM175" i="10"/>
  <c r="AL175" i="10"/>
  <c r="AM171" i="10"/>
  <c r="AL171" i="10"/>
  <c r="AN171" i="10" s="1"/>
  <c r="AM167" i="10"/>
  <c r="AL167" i="10"/>
  <c r="AN167" i="10" s="1"/>
  <c r="AM163" i="10"/>
  <c r="AL163" i="10"/>
  <c r="AN163" i="10" s="1"/>
  <c r="AM159" i="10"/>
  <c r="AL159" i="10"/>
  <c r="AM155" i="10"/>
  <c r="AL155" i="10"/>
  <c r="AN155" i="10" s="1"/>
  <c r="AM151" i="10"/>
  <c r="AL151" i="10"/>
  <c r="AN151" i="10" s="1"/>
  <c r="AM147" i="10"/>
  <c r="AL147" i="10"/>
  <c r="AN147" i="10" s="1"/>
  <c r="AM143" i="10"/>
  <c r="AL143" i="10"/>
  <c r="AM139" i="10"/>
  <c r="AL139" i="10"/>
  <c r="AN139" i="10" s="1"/>
  <c r="AM135" i="10"/>
  <c r="AL135" i="10"/>
  <c r="AM131" i="10"/>
  <c r="AL131" i="10"/>
  <c r="AN131" i="10" s="1"/>
  <c r="AM127" i="10"/>
  <c r="AL127" i="10"/>
  <c r="AM123" i="10"/>
  <c r="AL123" i="10"/>
  <c r="AN123" i="10" s="1"/>
  <c r="AM119" i="10"/>
  <c r="AL119" i="10"/>
  <c r="AN119" i="10" s="1"/>
  <c r="AM115" i="10"/>
  <c r="AL115" i="10"/>
  <c r="AN115" i="10" s="1"/>
  <c r="AM111" i="10"/>
  <c r="AL111" i="10"/>
  <c r="AM107" i="10"/>
  <c r="AL107" i="10"/>
  <c r="AN107" i="10" s="1"/>
  <c r="AM103" i="10"/>
  <c r="AL103" i="10"/>
  <c r="AM99" i="10"/>
  <c r="AL99" i="10"/>
  <c r="AN99" i="10" s="1"/>
  <c r="AM95" i="10"/>
  <c r="AL95" i="10"/>
  <c r="AM91" i="10"/>
  <c r="AL91" i="10"/>
  <c r="AN91" i="10" s="1"/>
  <c r="AM87" i="10"/>
  <c r="AL87" i="10"/>
  <c r="AM83" i="10"/>
  <c r="AL83" i="10"/>
  <c r="AN83" i="10" s="1"/>
  <c r="AM79" i="10"/>
  <c r="AL79" i="10"/>
  <c r="AN79" i="10" s="1"/>
  <c r="AM75" i="10"/>
  <c r="AL75" i="10"/>
  <c r="AN75" i="10" s="1"/>
  <c r="AM71" i="10"/>
  <c r="AL71" i="10"/>
  <c r="AN71" i="10" s="1"/>
  <c r="AM67" i="10"/>
  <c r="AL67" i="10"/>
  <c r="AN67" i="10" s="1"/>
  <c r="AM63" i="10"/>
  <c r="AL63" i="10"/>
  <c r="AL59" i="10"/>
  <c r="AM59" i="10"/>
  <c r="AN59" i="10" s="1"/>
  <c r="AM55" i="10"/>
  <c r="AL55" i="10"/>
  <c r="AL51" i="10"/>
  <c r="AM51" i="10"/>
  <c r="AN51" i="10" s="1"/>
  <c r="AM47" i="10"/>
  <c r="AL47" i="10"/>
  <c r="AL43" i="10"/>
  <c r="AM43" i="10"/>
  <c r="AN43" i="10" s="1"/>
  <c r="AM39" i="10"/>
  <c r="AL39" i="10"/>
  <c r="AN39" i="10" s="1"/>
  <c r="AL35" i="10"/>
  <c r="AM35" i="10"/>
  <c r="AN35" i="10" s="1"/>
  <c r="AM31" i="10"/>
  <c r="AL31" i="10"/>
  <c r="AL27" i="10"/>
  <c r="AM27" i="10"/>
  <c r="AN27" i="10" s="1"/>
  <c r="AM23" i="10"/>
  <c r="AL23" i="10"/>
  <c r="AL19" i="10"/>
  <c r="AM19" i="10"/>
  <c r="AN19" i="10" s="1"/>
  <c r="AM15" i="10"/>
  <c r="AL15" i="10"/>
  <c r="AL11" i="10"/>
  <c r="AM11" i="10"/>
  <c r="AN11" i="10" s="1"/>
  <c r="AM7" i="10"/>
  <c r="AL7" i="10"/>
  <c r="AN7" i="10" s="1"/>
  <c r="AL3" i="10"/>
  <c r="AM3" i="10"/>
  <c r="AN3" i="10" s="1"/>
  <c r="AL196" i="10"/>
  <c r="AM196" i="10"/>
  <c r="AM176" i="10"/>
  <c r="AL176" i="10"/>
  <c r="AN176" i="10" s="1"/>
  <c r="AL164" i="10"/>
  <c r="AM164" i="10"/>
  <c r="AM152" i="10"/>
  <c r="AL152" i="10"/>
  <c r="AN152" i="10" s="1"/>
  <c r="AL132" i="10"/>
  <c r="AM132" i="10"/>
  <c r="AM120" i="10"/>
  <c r="AL120" i="10"/>
  <c r="AN120" i="10" s="1"/>
  <c r="AL108" i="10"/>
  <c r="AM108" i="10"/>
  <c r="AM96" i="10"/>
  <c r="AL96" i="10"/>
  <c r="AN96" i="10" s="1"/>
  <c r="AL84" i="10"/>
  <c r="AM84" i="10"/>
  <c r="AM72" i="10"/>
  <c r="AL72" i="10"/>
  <c r="AN72" i="10" s="1"/>
  <c r="AM60" i="10"/>
  <c r="AL60" i="10"/>
  <c r="AM48" i="10"/>
  <c r="AL48" i="10"/>
  <c r="AN48" i="10" s="1"/>
  <c r="AM36" i="10"/>
  <c r="AL36" i="10"/>
  <c r="AM24" i="10"/>
  <c r="AL24" i="10"/>
  <c r="AN24" i="10" s="1"/>
  <c r="AM12" i="10"/>
  <c r="AL12" i="10"/>
  <c r="AM202" i="10"/>
  <c r="AL202" i="10"/>
  <c r="AN202" i="10" s="1"/>
  <c r="AM194" i="10"/>
  <c r="AL194" i="10"/>
  <c r="AL190" i="10"/>
  <c r="AM190" i="10"/>
  <c r="AN190" i="10" s="1"/>
  <c r="AM186" i="10"/>
  <c r="AL186" i="10"/>
  <c r="AN186" i="10" s="1"/>
  <c r="AL182" i="10"/>
  <c r="AM182" i="10"/>
  <c r="AN182" i="10" s="1"/>
  <c r="AM178" i="10"/>
  <c r="AL178" i="10"/>
  <c r="AL174" i="10"/>
  <c r="AM174" i="10"/>
  <c r="AM170" i="10"/>
  <c r="AL170" i="10"/>
  <c r="AL166" i="10"/>
  <c r="AM166" i="10"/>
  <c r="AN166" i="10" s="1"/>
  <c r="AM162" i="10"/>
  <c r="AL162" i="10"/>
  <c r="AL158" i="10"/>
  <c r="AM158" i="10"/>
  <c r="AN158" i="10" s="1"/>
  <c r="AM154" i="10"/>
  <c r="AL154" i="10"/>
  <c r="AL150" i="10"/>
  <c r="AM150" i="10"/>
  <c r="AN150" i="10" s="1"/>
  <c r="AM146" i="10"/>
  <c r="AL146" i="10"/>
  <c r="AN146" i="10" s="1"/>
  <c r="AL142" i="10"/>
  <c r="AM142" i="10"/>
  <c r="AN142" i="10" s="1"/>
  <c r="AM138" i="10"/>
  <c r="AL138" i="10"/>
  <c r="AL134" i="10"/>
  <c r="AM134" i="10"/>
  <c r="AN134" i="10" s="1"/>
  <c r="AM130" i="10"/>
  <c r="AL130" i="10"/>
  <c r="AL126" i="10"/>
  <c r="AM126" i="10"/>
  <c r="AN126" i="10" s="1"/>
  <c r="AM122" i="10"/>
  <c r="AL122" i="10"/>
  <c r="AL118" i="10"/>
  <c r="AM118" i="10"/>
  <c r="AN118" i="10" s="1"/>
  <c r="AM114" i="10"/>
  <c r="AL114" i="10"/>
  <c r="AL110" i="10"/>
  <c r="AM110" i="10"/>
  <c r="AN110" i="10" s="1"/>
  <c r="AM106" i="10"/>
  <c r="AL106" i="10"/>
  <c r="AL102" i="10"/>
  <c r="AM102" i="10"/>
  <c r="AN102" i="10" s="1"/>
  <c r="AM98" i="10"/>
  <c r="AL98" i="10"/>
  <c r="AL94" i="10"/>
  <c r="AM94" i="10"/>
  <c r="AN94" i="10" s="1"/>
  <c r="AM90" i="10"/>
  <c r="AL90" i="10"/>
  <c r="AL86" i="10"/>
  <c r="AM86" i="10"/>
  <c r="AN86" i="10" s="1"/>
  <c r="AM82" i="10"/>
  <c r="AL82" i="10"/>
  <c r="AN82" i="10" s="1"/>
  <c r="AL78" i="10"/>
  <c r="AM78" i="10"/>
  <c r="AN78" i="10" s="1"/>
  <c r="AM74" i="10"/>
  <c r="AL74" i="10"/>
  <c r="AL70" i="10"/>
  <c r="AM70" i="10"/>
  <c r="AN70" i="10" s="1"/>
  <c r="AM66" i="10"/>
  <c r="AL66" i="10"/>
  <c r="AM62" i="10"/>
  <c r="AL62" i="10"/>
  <c r="AN62" i="10" s="1"/>
  <c r="AM58" i="10"/>
  <c r="AL58" i="10"/>
  <c r="AM54" i="10"/>
  <c r="AL54" i="10"/>
  <c r="AN54" i="10" s="1"/>
  <c r="AM50" i="10"/>
  <c r="AL50" i="10"/>
  <c r="AM46" i="10"/>
  <c r="AL46" i="10"/>
  <c r="AN46" i="10" s="1"/>
  <c r="AM42" i="10"/>
  <c r="AL42" i="10"/>
  <c r="AM38" i="10"/>
  <c r="AL38" i="10"/>
  <c r="AN38" i="10" s="1"/>
  <c r="AM34" i="10"/>
  <c r="AL34" i="10"/>
  <c r="AM30" i="10"/>
  <c r="AL30" i="10"/>
  <c r="AN30" i="10" s="1"/>
  <c r="AM26" i="10"/>
  <c r="AL26" i="10"/>
  <c r="AM22" i="10"/>
  <c r="AL22" i="10"/>
  <c r="AN22" i="10" s="1"/>
  <c r="AM18" i="10"/>
  <c r="AL18" i="10"/>
  <c r="AM14" i="10"/>
  <c r="AL14" i="10"/>
  <c r="AN14" i="10" s="1"/>
  <c r="AM10" i="10"/>
  <c r="AL10" i="10"/>
  <c r="AN10" i="10" s="1"/>
  <c r="AM6" i="10"/>
  <c r="AL6" i="10"/>
  <c r="AN6" i="10" s="1"/>
  <c r="AM200" i="10"/>
  <c r="AL200" i="10"/>
  <c r="AL188" i="10"/>
  <c r="AM188" i="10"/>
  <c r="AL180" i="10"/>
  <c r="AM180" i="10"/>
  <c r="AM168" i="10"/>
  <c r="AL168" i="10"/>
  <c r="AN168" i="10" s="1"/>
  <c r="AM160" i="10"/>
  <c r="AL160" i="10"/>
  <c r="AL148" i="10"/>
  <c r="AM148" i="10"/>
  <c r="AL140" i="10"/>
  <c r="AM140" i="10"/>
  <c r="AM128" i="10"/>
  <c r="AL128" i="10"/>
  <c r="AN128" i="10" s="1"/>
  <c r="AL116" i="10"/>
  <c r="AM116" i="10"/>
  <c r="AM104" i="10"/>
  <c r="AL104" i="10"/>
  <c r="AN104" i="10" s="1"/>
  <c r="AL92" i="10"/>
  <c r="AM92" i="10"/>
  <c r="AM80" i="10"/>
  <c r="AL80" i="10"/>
  <c r="AN80" i="10" s="1"/>
  <c r="AL68" i="10"/>
  <c r="AM68" i="10"/>
  <c r="AM56" i="10"/>
  <c r="AL56" i="10"/>
  <c r="AN56" i="10" s="1"/>
  <c r="AM40" i="10"/>
  <c r="AL40" i="10"/>
  <c r="AM28" i="10"/>
  <c r="AL28" i="10"/>
  <c r="AN28" i="10" s="1"/>
  <c r="AM16" i="10"/>
  <c r="AL16" i="10"/>
  <c r="AM8" i="10"/>
  <c r="AL8" i="10"/>
  <c r="AN8" i="10" s="1"/>
  <c r="AL198" i="10"/>
  <c r="AM198" i="10"/>
  <c r="AL201" i="10"/>
  <c r="AM201" i="10"/>
  <c r="AM197" i="10"/>
  <c r="AL197" i="10"/>
  <c r="AL193" i="10"/>
  <c r="AM193" i="10"/>
  <c r="AM189" i="10"/>
  <c r="AL189" i="10"/>
  <c r="AL185" i="10"/>
  <c r="AM185" i="10"/>
  <c r="AM181" i="10"/>
  <c r="AL181" i="10"/>
  <c r="AL177" i="10"/>
  <c r="AM177" i="10"/>
  <c r="AM173" i="10"/>
  <c r="AL173" i="10"/>
  <c r="AL169" i="10"/>
  <c r="AM169" i="10"/>
  <c r="AM165" i="10"/>
  <c r="AL165" i="10"/>
  <c r="AL161" i="10"/>
  <c r="AM161" i="10"/>
  <c r="AM157" i="10"/>
  <c r="AL157" i="10"/>
  <c r="AL153" i="10"/>
  <c r="AM153" i="10"/>
  <c r="AM149" i="10"/>
  <c r="AL149" i="10"/>
  <c r="AL145" i="10"/>
  <c r="AM145" i="10"/>
  <c r="AM141" i="10"/>
  <c r="AL141" i="10"/>
  <c r="AL137" i="10"/>
  <c r="AM137" i="10"/>
  <c r="AM133" i="10"/>
  <c r="AL133" i="10"/>
  <c r="AL129" i="10"/>
  <c r="AM129" i="10"/>
  <c r="AM125" i="10"/>
  <c r="AL125" i="10"/>
  <c r="AL121" i="10"/>
  <c r="AM121" i="10"/>
  <c r="AM117" i="10"/>
  <c r="AL117" i="10"/>
  <c r="AL113" i="10"/>
  <c r="AM113" i="10"/>
  <c r="AM109" i="10"/>
  <c r="AL109" i="10"/>
  <c r="AL105" i="10"/>
  <c r="AM105" i="10"/>
  <c r="AM101" i="10"/>
  <c r="AL101" i="10"/>
  <c r="AL97" i="10"/>
  <c r="AM97" i="10"/>
  <c r="AM93" i="10"/>
  <c r="AL93" i="10"/>
  <c r="AL89" i="10"/>
  <c r="AM89" i="10"/>
  <c r="AM85" i="10"/>
  <c r="AL85" i="10"/>
  <c r="AL81" i="10"/>
  <c r="AM81" i="10"/>
  <c r="AM77" i="10"/>
  <c r="AL77" i="10"/>
  <c r="AL73" i="10"/>
  <c r="AM73" i="10"/>
  <c r="AM69" i="10"/>
  <c r="AL69" i="10"/>
  <c r="AM65" i="10"/>
  <c r="AL65" i="10"/>
  <c r="AN65" i="10" s="1"/>
  <c r="AM61" i="10"/>
  <c r="AL61" i="10"/>
  <c r="AM57" i="10"/>
  <c r="AL57" i="10"/>
  <c r="AN57" i="10" s="1"/>
  <c r="AM53" i="10"/>
  <c r="AL53" i="10"/>
  <c r="AM49" i="10"/>
  <c r="AL49" i="10"/>
  <c r="AN49" i="10" s="1"/>
  <c r="AM45" i="10"/>
  <c r="AL45" i="10"/>
  <c r="AM41" i="10"/>
  <c r="AL41" i="10"/>
  <c r="AN41" i="10" s="1"/>
  <c r="AM37" i="10"/>
  <c r="AL37" i="10"/>
  <c r="AM33" i="10"/>
  <c r="AL33" i="10"/>
  <c r="AN33" i="10" s="1"/>
  <c r="AM29" i="10"/>
  <c r="AL29" i="10"/>
  <c r="AM25" i="10"/>
  <c r="AL25" i="10"/>
  <c r="AN25" i="10" s="1"/>
  <c r="AM21" i="10"/>
  <c r="AL21" i="10"/>
  <c r="AM17" i="10"/>
  <c r="AL17" i="10"/>
  <c r="AN17" i="10" s="1"/>
  <c r="AM13" i="10"/>
  <c r="AL13" i="10"/>
  <c r="AM9" i="10"/>
  <c r="AL9" i="10"/>
  <c r="AN9" i="10" s="1"/>
  <c r="AM5" i="10"/>
  <c r="AL5" i="10"/>
  <c r="AN178" i="10"/>
  <c r="AN114" i="10"/>
  <c r="AN175" i="10"/>
  <c r="AN63" i="10"/>
  <c r="AN31" i="10"/>
  <c r="AN199" i="10"/>
  <c r="AN103" i="10"/>
  <c r="AN42" i="10"/>
  <c r="AN183" i="10"/>
  <c r="AB65" i="10"/>
  <c r="W3" i="10"/>
  <c r="B5" i="6"/>
  <c r="B6" i="9"/>
  <c r="AB101" i="10"/>
  <c r="AB143" i="10"/>
  <c r="AB186" i="10"/>
  <c r="AB58" i="10"/>
  <c r="AB196" i="10"/>
  <c r="AB154" i="10"/>
  <c r="AB111" i="10"/>
  <c r="AB69" i="10"/>
  <c r="AB165" i="10"/>
  <c r="AB122" i="10"/>
  <c r="AB79" i="10"/>
  <c r="AB175" i="10"/>
  <c r="AB133" i="10"/>
  <c r="AB90" i="10"/>
  <c r="AB197" i="10"/>
  <c r="AB187" i="10"/>
  <c r="AB177" i="10"/>
  <c r="AB166" i="10"/>
  <c r="AB155" i="10"/>
  <c r="AB145" i="10"/>
  <c r="AB134" i="10"/>
  <c r="AB123" i="10"/>
  <c r="AB113" i="10"/>
  <c r="AB102" i="10"/>
  <c r="AB91" i="10"/>
  <c r="AB81" i="10"/>
  <c r="AB70" i="10"/>
  <c r="AB59" i="10"/>
  <c r="AB200" i="10"/>
  <c r="AB191" i="10"/>
  <c r="AB181" i="10"/>
  <c r="AB170" i="10"/>
  <c r="AB159" i="10"/>
  <c r="AB149" i="10"/>
  <c r="AB138" i="10"/>
  <c r="AB127" i="10"/>
  <c r="AB117" i="10"/>
  <c r="AB106" i="10"/>
  <c r="AB95" i="10"/>
  <c r="AB85" i="10"/>
  <c r="AB74" i="10"/>
  <c r="AB63" i="10"/>
  <c r="AB201" i="10"/>
  <c r="AB193" i="10"/>
  <c r="AB182" i="10"/>
  <c r="AB171" i="10"/>
  <c r="AB161" i="10"/>
  <c r="AB150" i="10"/>
  <c r="AB139" i="10"/>
  <c r="AB129" i="10"/>
  <c r="AB118" i="10"/>
  <c r="AB107" i="10"/>
  <c r="AB97" i="10"/>
  <c r="AB86" i="10"/>
  <c r="AB75" i="10"/>
  <c r="B6" i="6"/>
  <c r="AB60" i="10"/>
  <c r="AB64" i="10"/>
  <c r="AB68" i="10"/>
  <c r="AB72" i="10"/>
  <c r="AB76" i="10"/>
  <c r="AB80" i="10"/>
  <c r="AB84" i="10"/>
  <c r="AB88" i="10"/>
  <c r="AB92" i="10"/>
  <c r="AB96" i="10"/>
  <c r="AB100" i="10"/>
  <c r="AB104" i="10"/>
  <c r="AB108" i="10"/>
  <c r="AB112" i="10"/>
  <c r="AB116" i="10"/>
  <c r="AB120" i="10"/>
  <c r="AB124" i="10"/>
  <c r="AB128" i="10"/>
  <c r="AB132" i="10"/>
  <c r="AB136" i="10"/>
  <c r="AB140" i="10"/>
  <c r="AB144" i="10"/>
  <c r="AB148" i="10"/>
  <c r="AB152" i="10"/>
  <c r="AB156" i="10"/>
  <c r="AB160" i="10"/>
  <c r="AB164" i="10"/>
  <c r="AB168" i="10"/>
  <c r="AB172" i="10"/>
  <c r="AB176" i="10"/>
  <c r="AB180" i="10"/>
  <c r="AB184" i="10"/>
  <c r="AB188" i="10"/>
  <c r="AB192" i="10"/>
  <c r="AB202" i="10"/>
  <c r="AB198" i="10"/>
  <c r="AB194" i="10"/>
  <c r="AB189" i="10"/>
  <c r="AB183" i="10"/>
  <c r="AB178" i="10"/>
  <c r="AB173" i="10"/>
  <c r="AB167" i="10"/>
  <c r="AB162" i="10"/>
  <c r="AB157" i="10"/>
  <c r="AB151" i="10"/>
  <c r="AB146" i="10"/>
  <c r="AB141" i="10"/>
  <c r="AB135" i="10"/>
  <c r="AB130" i="10"/>
  <c r="AB125" i="10"/>
  <c r="AB119" i="10"/>
  <c r="AB114" i="10"/>
  <c r="AB109" i="10"/>
  <c r="AB103" i="10"/>
  <c r="AB98" i="10"/>
  <c r="AB93" i="10"/>
  <c r="AB87" i="10"/>
  <c r="AB82" i="10"/>
  <c r="AB77" i="10"/>
  <c r="AB71" i="10"/>
  <c r="AB66" i="10"/>
  <c r="AB61" i="10"/>
  <c r="AB199" i="10"/>
  <c r="AB195" i="10"/>
  <c r="AB190" i="10"/>
  <c r="AB185" i="10"/>
  <c r="AB179" i="10"/>
  <c r="AB174" i="10"/>
  <c r="AB169" i="10"/>
  <c r="AB163" i="10"/>
  <c r="AB158" i="10"/>
  <c r="AB153" i="10"/>
  <c r="AB147" i="10"/>
  <c r="AB142" i="10"/>
  <c r="AB137" i="10"/>
  <c r="AB131" i="10"/>
  <c r="AB126" i="10"/>
  <c r="AB121" i="10"/>
  <c r="AB115" i="10"/>
  <c r="AB110" i="10"/>
  <c r="AB105" i="10"/>
  <c r="AB99" i="10"/>
  <c r="AB94" i="10"/>
  <c r="AB89" i="10"/>
  <c r="AB83" i="10"/>
  <c r="AB78" i="10"/>
  <c r="AB73" i="10"/>
  <c r="AB67" i="10"/>
  <c r="AB62" i="10"/>
  <c r="AB57" i="10"/>
  <c r="E3" i="4"/>
  <c r="E2" i="4"/>
  <c r="D8" i="4"/>
  <c r="AB6" i="10"/>
  <c r="T5" i="10"/>
  <c r="AB35" i="10"/>
  <c r="AB7" i="10"/>
  <c r="AB52" i="10"/>
  <c r="W4" i="10"/>
  <c r="AB56" i="10"/>
  <c r="AB48" i="10"/>
  <c r="AB40" i="10"/>
  <c r="AB32" i="10"/>
  <c r="AB19" i="10"/>
  <c r="AB3" i="10"/>
  <c r="AB51" i="10"/>
  <c r="AB43" i="10"/>
  <c r="AB23" i="10"/>
  <c r="AB44" i="10"/>
  <c r="AB36" i="10"/>
  <c r="AB27" i="10"/>
  <c r="AB11" i="10"/>
  <c r="AB55" i="10"/>
  <c r="AB47" i="10"/>
  <c r="AB39" i="10"/>
  <c r="AB31" i="10"/>
  <c r="AB15" i="10"/>
  <c r="AB28" i="10"/>
  <c r="AB24" i="10"/>
  <c r="AB20" i="10"/>
  <c r="AB16" i="10"/>
  <c r="AB12" i="10"/>
  <c r="AB8" i="10"/>
  <c r="AB4" i="10"/>
  <c r="AB2" i="10"/>
  <c r="AB53" i="10"/>
  <c r="AB49" i="10"/>
  <c r="AB45" i="10"/>
  <c r="AB41" i="10"/>
  <c r="AB37" i="10"/>
  <c r="AB33" i="10"/>
  <c r="AB29" i="10"/>
  <c r="AB25" i="10"/>
  <c r="AB21" i="10"/>
  <c r="AB17" i="10"/>
  <c r="AB13" i="10"/>
  <c r="AB9" i="10"/>
  <c r="AB5" i="10"/>
  <c r="AB54" i="10"/>
  <c r="AB50" i="10"/>
  <c r="AB46" i="10"/>
  <c r="AB42" i="10"/>
  <c r="AB38" i="10"/>
  <c r="AB34" i="10"/>
  <c r="AB30" i="10"/>
  <c r="AB26" i="10"/>
  <c r="AB22" i="10"/>
  <c r="AB18" i="10"/>
  <c r="AB14" i="10"/>
  <c r="AB10" i="10"/>
  <c r="AN174" i="10" l="1"/>
  <c r="AN198" i="10"/>
  <c r="AN68" i="10"/>
  <c r="AO68" i="10" s="1"/>
  <c r="AR68" i="10" s="1"/>
  <c r="AN92" i="10"/>
  <c r="AN18" i="10"/>
  <c r="AO18" i="10" s="1"/>
  <c r="AR18" i="10" s="1"/>
  <c r="AN26" i="10"/>
  <c r="AN34" i="10"/>
  <c r="AN50" i="10"/>
  <c r="AN58" i="10"/>
  <c r="AN66" i="10"/>
  <c r="AN74" i="10"/>
  <c r="AN90" i="10"/>
  <c r="AN98" i="10"/>
  <c r="AP98" i="10" s="1"/>
  <c r="AN106" i="10"/>
  <c r="AN122" i="10"/>
  <c r="AN130" i="10"/>
  <c r="AN138" i="10"/>
  <c r="AN154" i="10"/>
  <c r="AN162" i="10"/>
  <c r="AN170" i="10"/>
  <c r="AN194" i="10"/>
  <c r="AP194" i="10" s="1"/>
  <c r="AN84" i="10"/>
  <c r="AP84" i="10" s="1"/>
  <c r="AN15" i="10"/>
  <c r="AN23" i="10"/>
  <c r="AN47" i="10"/>
  <c r="AP47" i="10" s="1"/>
  <c r="AN55" i="10"/>
  <c r="AN87" i="10"/>
  <c r="AN95" i="10"/>
  <c r="AN111" i="10"/>
  <c r="AP111" i="10" s="1"/>
  <c r="AN127" i="10"/>
  <c r="AN135" i="10"/>
  <c r="AN143" i="10"/>
  <c r="AN159" i="10"/>
  <c r="AN5" i="10"/>
  <c r="AN13" i="10"/>
  <c r="AN21" i="10"/>
  <c r="AN29" i="10"/>
  <c r="AO29" i="10" s="1"/>
  <c r="AR29" i="10" s="1"/>
  <c r="AN37" i="10"/>
  <c r="AN45" i="10"/>
  <c r="AN53" i="10"/>
  <c r="AN61" i="10"/>
  <c r="AP61" i="10" s="1"/>
  <c r="AN69" i="10"/>
  <c r="AN77" i="10"/>
  <c r="AN85" i="10"/>
  <c r="AN93" i="10"/>
  <c r="AP93" i="10" s="1"/>
  <c r="AN101" i="10"/>
  <c r="AN109" i="10"/>
  <c r="AN117" i="10"/>
  <c r="AN125" i="10"/>
  <c r="AP125" i="10" s="1"/>
  <c r="AN133" i="10"/>
  <c r="AN141" i="10"/>
  <c r="AN149" i="10"/>
  <c r="AN157" i="10"/>
  <c r="AO157" i="10" s="1"/>
  <c r="AR157" i="10" s="1"/>
  <c r="AN165" i="10"/>
  <c r="AN173" i="10"/>
  <c r="AN181" i="10"/>
  <c r="AN189" i="10"/>
  <c r="AP189" i="10" s="1"/>
  <c r="AN160" i="10"/>
  <c r="AN200" i="10"/>
  <c r="AN73" i="10"/>
  <c r="AN81" i="10"/>
  <c r="AN89" i="10"/>
  <c r="AN97" i="10"/>
  <c r="AN105" i="10"/>
  <c r="AN113" i="10"/>
  <c r="AO113" i="10" s="1"/>
  <c r="AR113" i="10" s="1"/>
  <c r="AN121" i="10"/>
  <c r="AN129" i="10"/>
  <c r="AO129" i="10" s="1"/>
  <c r="AR129" i="10" s="1"/>
  <c r="AN137" i="10"/>
  <c r="AN145" i="10"/>
  <c r="AP145" i="10" s="1"/>
  <c r="AN153" i="10"/>
  <c r="AN161" i="10"/>
  <c r="AP161" i="10" s="1"/>
  <c r="AN169" i="10"/>
  <c r="AN177" i="10"/>
  <c r="AP177" i="10" s="1"/>
  <c r="AN185" i="10"/>
  <c r="AN193" i="10"/>
  <c r="AN201" i="10"/>
  <c r="AN148" i="10"/>
  <c r="AO148" i="10" s="1"/>
  <c r="AR148" i="10" s="1"/>
  <c r="AN188" i="10"/>
  <c r="AN156" i="10"/>
  <c r="AN197" i="10"/>
  <c r="AN16" i="10"/>
  <c r="AO16" i="10" s="1"/>
  <c r="AR16" i="10" s="1"/>
  <c r="AN40" i="10"/>
  <c r="AP40" i="10" s="1"/>
  <c r="AN12" i="10"/>
  <c r="AN36" i="10"/>
  <c r="AN60" i="10"/>
  <c r="AO60" i="10" s="1"/>
  <c r="AR60" i="10" s="1"/>
  <c r="AN116" i="10"/>
  <c r="AO116" i="10" s="1"/>
  <c r="AR116" i="10" s="1"/>
  <c r="AN140" i="10"/>
  <c r="AN180" i="10"/>
  <c r="AP180" i="10" s="1"/>
  <c r="AN108" i="10"/>
  <c r="AN132" i="10"/>
  <c r="AO132" i="10" s="1"/>
  <c r="AR132" i="10" s="1"/>
  <c r="AN164" i="10"/>
  <c r="AO164" i="10" s="1"/>
  <c r="AR164" i="10" s="1"/>
  <c r="AN196" i="10"/>
  <c r="AO196" i="10" s="1"/>
  <c r="AR196" i="10" s="1"/>
  <c r="AN76" i="10"/>
  <c r="AO76" i="10" s="1"/>
  <c r="AR76" i="10" s="1"/>
  <c r="AN100" i="10"/>
  <c r="AO100" i="10" s="1"/>
  <c r="AR100" i="10" s="1"/>
  <c r="AN124" i="10"/>
  <c r="AN172" i="10"/>
  <c r="B7" i="9"/>
  <c r="B8" i="9" s="1"/>
  <c r="E5" i="5"/>
  <c r="AP15" i="10"/>
  <c r="AO59" i="10"/>
  <c r="AR59" i="10" s="1"/>
  <c r="AO79" i="10"/>
  <c r="AR79" i="10" s="1"/>
  <c r="AO103" i="10"/>
  <c r="AR103" i="10" s="1"/>
  <c r="AO123" i="10"/>
  <c r="AR123" i="10" s="1"/>
  <c r="AP151" i="10"/>
  <c r="AO58" i="10"/>
  <c r="AR58" i="10" s="1"/>
  <c r="AP2" i="10"/>
  <c r="AO90" i="10"/>
  <c r="AR90" i="10" s="1"/>
  <c r="AP22" i="10"/>
  <c r="AO55" i="10"/>
  <c r="AR55" i="10" s="1"/>
  <c r="AO147" i="10"/>
  <c r="AR147" i="10" s="1"/>
  <c r="AO122" i="10"/>
  <c r="AR122" i="10" s="1"/>
  <c r="AO154" i="10"/>
  <c r="AR154" i="10" s="1"/>
  <c r="AO186" i="10"/>
  <c r="AR186" i="10" s="1"/>
  <c r="AO45" i="10"/>
  <c r="AR45" i="10" s="1"/>
  <c r="AO69" i="10"/>
  <c r="AR69" i="10" s="1"/>
  <c r="AP85" i="10"/>
  <c r="AP101" i="10"/>
  <c r="AO26" i="10"/>
  <c r="AR26" i="10" s="1"/>
  <c r="AP54" i="10"/>
  <c r="AO34" i="10"/>
  <c r="AR34" i="10" s="1"/>
  <c r="AP42" i="10"/>
  <c r="AP36" i="10"/>
  <c r="AP39" i="10"/>
  <c r="AP46" i="10"/>
  <c r="AO8" i="10"/>
  <c r="AR8" i="10" s="1"/>
  <c r="AO64" i="10"/>
  <c r="AR64" i="10" s="1"/>
  <c r="AO96" i="10"/>
  <c r="AR96" i="10" s="1"/>
  <c r="AO144" i="10"/>
  <c r="AR144" i="10" s="1"/>
  <c r="AP176" i="10"/>
  <c r="AP155" i="10"/>
  <c r="AP10" i="10"/>
  <c r="AP110" i="10"/>
  <c r="AO142" i="10"/>
  <c r="AR142" i="10" s="1"/>
  <c r="AP20" i="10"/>
  <c r="AP75" i="10"/>
  <c r="AO119" i="10"/>
  <c r="AR119" i="10" s="1"/>
  <c r="AO191" i="10"/>
  <c r="AR191" i="10" s="1"/>
  <c r="AP82" i="10"/>
  <c r="AO114" i="10"/>
  <c r="AR114" i="10" s="1"/>
  <c r="AP178" i="10"/>
  <c r="AO65" i="10"/>
  <c r="AR65" i="10" s="1"/>
  <c r="AP97" i="10"/>
  <c r="AO193" i="10"/>
  <c r="AR193" i="10" s="1"/>
  <c r="AO67" i="10"/>
  <c r="AR67" i="10" s="1"/>
  <c r="AO32" i="10"/>
  <c r="AR32" i="10" s="1"/>
  <c r="AP21" i="10"/>
  <c r="AO48" i="10"/>
  <c r="AR48" i="10" s="1"/>
  <c r="AP38" i="10"/>
  <c r="AO41" i="10"/>
  <c r="AR41" i="10" s="1"/>
  <c r="AO112" i="10"/>
  <c r="AR112" i="10" s="1"/>
  <c r="AO4" i="10"/>
  <c r="AR4" i="10" s="1"/>
  <c r="AP24" i="10"/>
  <c r="AO92" i="10"/>
  <c r="AR92" i="10" s="1"/>
  <c r="AP108" i="10"/>
  <c r="AP124" i="10"/>
  <c r="AO140" i="10"/>
  <c r="AR140" i="10" s="1"/>
  <c r="AO156" i="10"/>
  <c r="AR156" i="10" s="1"/>
  <c r="AO172" i="10"/>
  <c r="AR172" i="10" s="1"/>
  <c r="AP188" i="10"/>
  <c r="AO143" i="10"/>
  <c r="AR143" i="10" s="1"/>
  <c r="AO183" i="10"/>
  <c r="AR183" i="10" s="1"/>
  <c r="AO163" i="10"/>
  <c r="AR163" i="10" s="1"/>
  <c r="AP70" i="10"/>
  <c r="AO102" i="10"/>
  <c r="AR102" i="10" s="1"/>
  <c r="AP134" i="10"/>
  <c r="AP166" i="10"/>
  <c r="AP198" i="10"/>
  <c r="AO179" i="10"/>
  <c r="AR179" i="10" s="1"/>
  <c r="AO23" i="10"/>
  <c r="AR23" i="10" s="1"/>
  <c r="AO71" i="10"/>
  <c r="AR71" i="10" s="1"/>
  <c r="AP91" i="10"/>
  <c r="AO135" i="10"/>
  <c r="AR135" i="10" s="1"/>
  <c r="AP175" i="10"/>
  <c r="AO6" i="10"/>
  <c r="AR6" i="10" s="1"/>
  <c r="AP74" i="10"/>
  <c r="AP106" i="10"/>
  <c r="AP138" i="10"/>
  <c r="AO170" i="10"/>
  <c r="AR170" i="10" s="1"/>
  <c r="AP202" i="10"/>
  <c r="AP77" i="10"/>
  <c r="AO109" i="10"/>
  <c r="AR109" i="10" s="1"/>
  <c r="AP141" i="10"/>
  <c r="AP173" i="10"/>
  <c r="AP11" i="10"/>
  <c r="AO13" i="10"/>
  <c r="AR13" i="10" s="1"/>
  <c r="AO117" i="10"/>
  <c r="AR117" i="10" s="1"/>
  <c r="AO133" i="10"/>
  <c r="AR133" i="10" s="1"/>
  <c r="AP149" i="10"/>
  <c r="AP165" i="10"/>
  <c r="AP181" i="10"/>
  <c r="AP197" i="10"/>
  <c r="AP5" i="10"/>
  <c r="AP37" i="10"/>
  <c r="AP50" i="10"/>
  <c r="AO33" i="10"/>
  <c r="AR33" i="10" s="1"/>
  <c r="AO28" i="10"/>
  <c r="AR28" i="10" s="1"/>
  <c r="AP80" i="10"/>
  <c r="AO128" i="10"/>
  <c r="AR128" i="10" s="1"/>
  <c r="AP160" i="10"/>
  <c r="AO192" i="10"/>
  <c r="AR192" i="10" s="1"/>
  <c r="AP187" i="10"/>
  <c r="AP78" i="10"/>
  <c r="AP174" i="10"/>
  <c r="AP7" i="10"/>
  <c r="AO31" i="10"/>
  <c r="AR31" i="10" s="1"/>
  <c r="AP95" i="10"/>
  <c r="AO139" i="10"/>
  <c r="AR139" i="10" s="1"/>
  <c r="AP14" i="10"/>
  <c r="AO146" i="10"/>
  <c r="AR146" i="10" s="1"/>
  <c r="AO17" i="10"/>
  <c r="AR17" i="10" s="1"/>
  <c r="AO81" i="10"/>
  <c r="AR81" i="10" s="1"/>
  <c r="AO25" i="10"/>
  <c r="AR25" i="10" s="1"/>
  <c r="AO30" i="10"/>
  <c r="AR30" i="10" s="1"/>
  <c r="AP49" i="10"/>
  <c r="AO35" i="10"/>
  <c r="AR35" i="10" s="1"/>
  <c r="AP51" i="10"/>
  <c r="AP195" i="10"/>
  <c r="AP56" i="10"/>
  <c r="AP72" i="10"/>
  <c r="AP88" i="10"/>
  <c r="AP104" i="10"/>
  <c r="AO120" i="10"/>
  <c r="AR120" i="10" s="1"/>
  <c r="AO136" i="10"/>
  <c r="AR136" i="10" s="1"/>
  <c r="AO152" i="10"/>
  <c r="AR152" i="10" s="1"/>
  <c r="AP168" i="10"/>
  <c r="AO184" i="10"/>
  <c r="AR184" i="10" s="1"/>
  <c r="AP200" i="10"/>
  <c r="AO171" i="10"/>
  <c r="AR171" i="10" s="1"/>
  <c r="AP27" i="10"/>
  <c r="AP62" i="10"/>
  <c r="AO94" i="10"/>
  <c r="AR94" i="10" s="1"/>
  <c r="AO126" i="10"/>
  <c r="AR126" i="10" s="1"/>
  <c r="AP158" i="10"/>
  <c r="AO190" i="10"/>
  <c r="AR190" i="10" s="1"/>
  <c r="AP115" i="10"/>
  <c r="AP19" i="10"/>
  <c r="AO63" i="10"/>
  <c r="AR63" i="10" s="1"/>
  <c r="AO87" i="10"/>
  <c r="AR87" i="10" s="1"/>
  <c r="AO107" i="10"/>
  <c r="AR107" i="10" s="1"/>
  <c r="AP127" i="10"/>
  <c r="AP159" i="10"/>
  <c r="AP99" i="10"/>
  <c r="AO66" i="10"/>
  <c r="AR66" i="10" s="1"/>
  <c r="AO130" i="10"/>
  <c r="AR130" i="10" s="1"/>
  <c r="AP162" i="10"/>
  <c r="AP57" i="10"/>
  <c r="AP73" i="10"/>
  <c r="AP89" i="10"/>
  <c r="AO105" i="10"/>
  <c r="AR105" i="10" s="1"/>
  <c r="AP121" i="10"/>
  <c r="AO137" i="10"/>
  <c r="AR137" i="10" s="1"/>
  <c r="AP153" i="10"/>
  <c r="AO169" i="10"/>
  <c r="AR169" i="10" s="1"/>
  <c r="AO185" i="10"/>
  <c r="AR185" i="10" s="1"/>
  <c r="AP201" i="10"/>
  <c r="AP9" i="10"/>
  <c r="AO83" i="10"/>
  <c r="AR83" i="10" s="1"/>
  <c r="B2" i="5"/>
  <c r="B4" i="8"/>
  <c r="AO124" i="10"/>
  <c r="AR124" i="10" s="1"/>
  <c r="AP196" i="10"/>
  <c r="AP68" i="10"/>
  <c r="AO180" i="10"/>
  <c r="AR180" i="10" s="1"/>
  <c r="AO84" i="10"/>
  <c r="AR84" i="10" s="1"/>
  <c r="AO40" i="10"/>
  <c r="AR40" i="10" s="1"/>
  <c r="AP164" i="10"/>
  <c r="AO3" i="10"/>
  <c r="AR3" i="10" s="1"/>
  <c r="AP3" i="10"/>
  <c r="AP131" i="10"/>
  <c r="AO131" i="10"/>
  <c r="AR131" i="10" s="1"/>
  <c r="AP103" i="10"/>
  <c r="AO167" i="10"/>
  <c r="AR167" i="10" s="1"/>
  <c r="AP167" i="10"/>
  <c r="AO199" i="10"/>
  <c r="AR199" i="10" s="1"/>
  <c r="AP199" i="10"/>
  <c r="AP86" i="10"/>
  <c r="AO86" i="10"/>
  <c r="AR86" i="10" s="1"/>
  <c r="AP118" i="10"/>
  <c r="AO118" i="10"/>
  <c r="AR118" i="10" s="1"/>
  <c r="AP150" i="10"/>
  <c r="AO150" i="10"/>
  <c r="AR150" i="10" s="1"/>
  <c r="AO12" i="10"/>
  <c r="AR12" i="10" s="1"/>
  <c r="AP12" i="10"/>
  <c r="AP182" i="10"/>
  <c r="AO182" i="10"/>
  <c r="AR182" i="10" s="1"/>
  <c r="AP18" i="10"/>
  <c r="W5" i="10"/>
  <c r="W2" i="10"/>
  <c r="AE151" i="10" s="1"/>
  <c r="AC2" i="10"/>
  <c r="AP148" i="10" l="1"/>
  <c r="AP116" i="10"/>
  <c r="AF145" i="10"/>
  <c r="AF109" i="10"/>
  <c r="AF106" i="10"/>
  <c r="AF78" i="10"/>
  <c r="AF63" i="10"/>
  <c r="AP100" i="10"/>
  <c r="AF85" i="10"/>
  <c r="AF87" i="10"/>
  <c r="AF86" i="10"/>
  <c r="AF186" i="10"/>
  <c r="AP132" i="10"/>
  <c r="AF97" i="10"/>
  <c r="AP79" i="10"/>
  <c r="AO15" i="10"/>
  <c r="AR15" i="10" s="1"/>
  <c r="AP59" i="10"/>
  <c r="AP123" i="10"/>
  <c r="AO151" i="10"/>
  <c r="AR151" i="10" s="1"/>
  <c r="AO189" i="10"/>
  <c r="AR189" i="10" s="1"/>
  <c r="AP58" i="10"/>
  <c r="AP192" i="10"/>
  <c r="AO89" i="10"/>
  <c r="AR89" i="10" s="1"/>
  <c r="AP135" i="10"/>
  <c r="AP147" i="10"/>
  <c r="AO75" i="10"/>
  <c r="AR75" i="10" s="1"/>
  <c r="AP45" i="10"/>
  <c r="AO2" i="10"/>
  <c r="AR2" i="10" s="1"/>
  <c r="AO134" i="10"/>
  <c r="AR134" i="10" s="1"/>
  <c r="AO82" i="10"/>
  <c r="AR82" i="10" s="1"/>
  <c r="AO155" i="10"/>
  <c r="AR155" i="10" s="1"/>
  <c r="AP64" i="10"/>
  <c r="AP126" i="10"/>
  <c r="AO54" i="10"/>
  <c r="AR54" i="10" s="1"/>
  <c r="AP154" i="10"/>
  <c r="AP139" i="10"/>
  <c r="AP90" i="10"/>
  <c r="AP157" i="10"/>
  <c r="AP185" i="10"/>
  <c r="AO14" i="10"/>
  <c r="AR14" i="10" s="1"/>
  <c r="AO57" i="10"/>
  <c r="AR57" i="10" s="1"/>
  <c r="AO21" i="10"/>
  <c r="AR21" i="10" s="1"/>
  <c r="AP65" i="10"/>
  <c r="AO73" i="10"/>
  <c r="AR73" i="10" s="1"/>
  <c r="AO101" i="10"/>
  <c r="AR101" i="10" s="1"/>
  <c r="AP55" i="10"/>
  <c r="AP16" i="10"/>
  <c r="AO47" i="10"/>
  <c r="AR47" i="10" s="1"/>
  <c r="AP76" i="10"/>
  <c r="AP13" i="10"/>
  <c r="AO85" i="10"/>
  <c r="AR85" i="10" s="1"/>
  <c r="AO198" i="10"/>
  <c r="AR198" i="10" s="1"/>
  <c r="AP81" i="10"/>
  <c r="AP69" i="10"/>
  <c r="AP122" i="10"/>
  <c r="AO38" i="10"/>
  <c r="AR38" i="10" s="1"/>
  <c r="AO115" i="10"/>
  <c r="AR115" i="10" s="1"/>
  <c r="AO46" i="10"/>
  <c r="AR46" i="10" s="1"/>
  <c r="AP171" i="10"/>
  <c r="AO127" i="10"/>
  <c r="AR127" i="10" s="1"/>
  <c r="AP28" i="10"/>
  <c r="AO188" i="10"/>
  <c r="AR188" i="10" s="1"/>
  <c r="AP32" i="10"/>
  <c r="AO178" i="10"/>
  <c r="AR178" i="10" s="1"/>
  <c r="AO161" i="10"/>
  <c r="AR161" i="10" s="1"/>
  <c r="AO158" i="10"/>
  <c r="AR158" i="10" s="1"/>
  <c r="AP34" i="10"/>
  <c r="AO22" i="10"/>
  <c r="AR22" i="10" s="1"/>
  <c r="AP112" i="10"/>
  <c r="AP6" i="10"/>
  <c r="AO98" i="10"/>
  <c r="AR98" i="10" s="1"/>
  <c r="AO181" i="10"/>
  <c r="AR181" i="10" s="1"/>
  <c r="AP170" i="10"/>
  <c r="AP41" i="10"/>
  <c r="AO201" i="10"/>
  <c r="AR201" i="10" s="1"/>
  <c r="AP113" i="10"/>
  <c r="AP143" i="10"/>
  <c r="AO202" i="10"/>
  <c r="AR202" i="10" s="1"/>
  <c r="AO74" i="10"/>
  <c r="AR74" i="10" s="1"/>
  <c r="AO61" i="10"/>
  <c r="AR61" i="10" s="1"/>
  <c r="AP26" i="10"/>
  <c r="AO153" i="10"/>
  <c r="AR153" i="10" s="1"/>
  <c r="AP109" i="10"/>
  <c r="AO145" i="10"/>
  <c r="AR145" i="10" s="1"/>
  <c r="AO49" i="10"/>
  <c r="AR49" i="10" s="1"/>
  <c r="AP183" i="10"/>
  <c r="AP60" i="10"/>
  <c r="AP23" i="10"/>
  <c r="AO91" i="10"/>
  <c r="AR91" i="10" s="1"/>
  <c r="AO176" i="10"/>
  <c r="AR176" i="10" s="1"/>
  <c r="AP152" i="10"/>
  <c r="AP117" i="10"/>
  <c r="AP142" i="10"/>
  <c r="AO125" i="10"/>
  <c r="AR125" i="10" s="1"/>
  <c r="AP130" i="10"/>
  <c r="AO97" i="10"/>
  <c r="AR97" i="10" s="1"/>
  <c r="AP102" i="10"/>
  <c r="AP137" i="10"/>
  <c r="AP29" i="10"/>
  <c r="AP146" i="10"/>
  <c r="AO106" i="10"/>
  <c r="AR106" i="10" s="1"/>
  <c r="AP35" i="10"/>
  <c r="AO173" i="10"/>
  <c r="AR173" i="10" s="1"/>
  <c r="AO42" i="10"/>
  <c r="AR42" i="10" s="1"/>
  <c r="AO177" i="10"/>
  <c r="AR177" i="10" s="1"/>
  <c r="AP63" i="10"/>
  <c r="AO187" i="10"/>
  <c r="AR187" i="10" s="1"/>
  <c r="AP191" i="10"/>
  <c r="AP31" i="10"/>
  <c r="AO80" i="10"/>
  <c r="AR80" i="10" s="1"/>
  <c r="AO27" i="10"/>
  <c r="AR27" i="10" s="1"/>
  <c r="AP186" i="10"/>
  <c r="AP8" i="10"/>
  <c r="AP179" i="10"/>
  <c r="AO111" i="10"/>
  <c r="AR111" i="10" s="1"/>
  <c r="AO159" i="10"/>
  <c r="AR159" i="10" s="1"/>
  <c r="AO104" i="10"/>
  <c r="AR104" i="10" s="1"/>
  <c r="AP140" i="10"/>
  <c r="AO78" i="10"/>
  <c r="AR78" i="10" s="1"/>
  <c r="AO50" i="10"/>
  <c r="AR50" i="10" s="1"/>
  <c r="AO168" i="10"/>
  <c r="AR168" i="10" s="1"/>
  <c r="AO10" i="10"/>
  <c r="AR10" i="10" s="1"/>
  <c r="AP105" i="10"/>
  <c r="AP94" i="10"/>
  <c r="AO39" i="10"/>
  <c r="AR39" i="10" s="1"/>
  <c r="AO194" i="10"/>
  <c r="AR194" i="10" s="1"/>
  <c r="AP71" i="10"/>
  <c r="AO165" i="10"/>
  <c r="AR165" i="10" s="1"/>
  <c r="AO93" i="10"/>
  <c r="AR93" i="10" s="1"/>
  <c r="AO70" i="10"/>
  <c r="AR70" i="10" s="1"/>
  <c r="AP169" i="10"/>
  <c r="AO121" i="10"/>
  <c r="AR121" i="10" s="1"/>
  <c r="AO5" i="10"/>
  <c r="AR5" i="10" s="1"/>
  <c r="AO110" i="10"/>
  <c r="AR110" i="10" s="1"/>
  <c r="AO77" i="10"/>
  <c r="AR77" i="10" s="1"/>
  <c r="AO37" i="10"/>
  <c r="AR37" i="10" s="1"/>
  <c r="AO166" i="10"/>
  <c r="AR166" i="10" s="1"/>
  <c r="AO51" i="10"/>
  <c r="AR51" i="10" s="1"/>
  <c r="AP119" i="10"/>
  <c r="AP67" i="10"/>
  <c r="AO88" i="10"/>
  <c r="AR88" i="10" s="1"/>
  <c r="AO19" i="10"/>
  <c r="AR19" i="10" s="1"/>
  <c r="AP163" i="10"/>
  <c r="AP83" i="10"/>
  <c r="AO195" i="10"/>
  <c r="AR195" i="10" s="1"/>
  <c r="AO7" i="10"/>
  <c r="AR7" i="10" s="1"/>
  <c r="AO11" i="10"/>
  <c r="AR11" i="10" s="1"/>
  <c r="AO149" i="10"/>
  <c r="AR149" i="10" s="1"/>
  <c r="AO175" i="10"/>
  <c r="AR175" i="10" s="1"/>
  <c r="AO24" i="10"/>
  <c r="AR24" i="10" s="1"/>
  <c r="AO138" i="10"/>
  <c r="AR138" i="10" s="1"/>
  <c r="AP66" i="10"/>
  <c r="AP129" i="10"/>
  <c r="AP30" i="10"/>
  <c r="AO174" i="10"/>
  <c r="AR174" i="10" s="1"/>
  <c r="AO141" i="10"/>
  <c r="AR141" i="10" s="1"/>
  <c r="AP33" i="10"/>
  <c r="AP114" i="10"/>
  <c r="AO108" i="10"/>
  <c r="AR108" i="10" s="1"/>
  <c r="AP107" i="10"/>
  <c r="AP144" i="10"/>
  <c r="AP136" i="10"/>
  <c r="AP133" i="10"/>
  <c r="AP17" i="10"/>
  <c r="AP48" i="10"/>
  <c r="AP193" i="10"/>
  <c r="AP25" i="10"/>
  <c r="AP190" i="10"/>
  <c r="AO36" i="10"/>
  <c r="AR36" i="10" s="1"/>
  <c r="AO95" i="10"/>
  <c r="AR95" i="10" s="1"/>
  <c r="AP156" i="10"/>
  <c r="AP184" i="10"/>
  <c r="AO197" i="10"/>
  <c r="AR197" i="10" s="1"/>
  <c r="AO9" i="10"/>
  <c r="AR9" i="10" s="1"/>
  <c r="AO62" i="10"/>
  <c r="AR62" i="10" s="1"/>
  <c r="AO162" i="10"/>
  <c r="AR162" i="10" s="1"/>
  <c r="AO99" i="10"/>
  <c r="AR99" i="10" s="1"/>
  <c r="AP120" i="10"/>
  <c r="AO56" i="10"/>
  <c r="AR56" i="10" s="1"/>
  <c r="AP87" i="10"/>
  <c r="AO200" i="10"/>
  <c r="AR200" i="10" s="1"/>
  <c r="AP172" i="10"/>
  <c r="AP4" i="10"/>
  <c r="AP128" i="10"/>
  <c r="AO72" i="10"/>
  <c r="AR72" i="10" s="1"/>
  <c r="AP92" i="10"/>
  <c r="AO160" i="10"/>
  <c r="AR160" i="10" s="1"/>
  <c r="AO20" i="10"/>
  <c r="AR20" i="10" s="1"/>
  <c r="AP96" i="10"/>
  <c r="AO44" i="10"/>
  <c r="AR44" i="10" s="1"/>
  <c r="AP44" i="10"/>
  <c r="AP43" i="10"/>
  <c r="AO43" i="10"/>
  <c r="AR43" i="10" s="1"/>
  <c r="AP53" i="10"/>
  <c r="AO53" i="10"/>
  <c r="AR53" i="10" s="1"/>
  <c r="AO52" i="10"/>
  <c r="AR52" i="10" s="1"/>
  <c r="AP52" i="10"/>
  <c r="AE111" i="10"/>
  <c r="AE119" i="10"/>
  <c r="AE98" i="10"/>
  <c r="AE96" i="10"/>
  <c r="AE106" i="10"/>
  <c r="AE177" i="10"/>
  <c r="AE120" i="10"/>
  <c r="AE198" i="10"/>
  <c r="AE168" i="10"/>
  <c r="AE82" i="10"/>
  <c r="AE63" i="10"/>
  <c r="AE73" i="10"/>
  <c r="AE195" i="10"/>
  <c r="AE77" i="10"/>
  <c r="AE182" i="10"/>
  <c r="AE196" i="10"/>
  <c r="AE147" i="10"/>
  <c r="AE160" i="10"/>
  <c r="AE162" i="10"/>
  <c r="AE191" i="10"/>
  <c r="AE170" i="10"/>
  <c r="AE180" i="10"/>
  <c r="AE131" i="10"/>
  <c r="AE127" i="10"/>
  <c r="AE70" i="10"/>
  <c r="AE118" i="10"/>
  <c r="AE61" i="10"/>
  <c r="AE84" i="10"/>
  <c r="AE141" i="10"/>
  <c r="AE95" i="10"/>
  <c r="AE87" i="10"/>
  <c r="AE102" i="10"/>
  <c r="AE81" i="10"/>
  <c r="AE75" i="10"/>
  <c r="AF75" i="10" s="1"/>
  <c r="AE99" i="10"/>
  <c r="AE90" i="10"/>
  <c r="AE135" i="10"/>
  <c r="AE134" i="10"/>
  <c r="AE132" i="10"/>
  <c r="AE83" i="10"/>
  <c r="AE161" i="10"/>
  <c r="AE146" i="10"/>
  <c r="AE169" i="10"/>
  <c r="AE193" i="10"/>
  <c r="AE154" i="10"/>
  <c r="AE159" i="10"/>
  <c r="AE109" i="10"/>
  <c r="AE2" i="10"/>
  <c r="AE91" i="10"/>
  <c r="AE133" i="10"/>
  <c r="AE176" i="10"/>
  <c r="AE64" i="10"/>
  <c r="AE107" i="10"/>
  <c r="AE149" i="10"/>
  <c r="AE192" i="10"/>
  <c r="AE69" i="10"/>
  <c r="AE112" i="10"/>
  <c r="AE155" i="10"/>
  <c r="AE197" i="10"/>
  <c r="AE85" i="10"/>
  <c r="AE128" i="10"/>
  <c r="AE171" i="10"/>
  <c r="AF171" i="10" s="1"/>
  <c r="AE62" i="10"/>
  <c r="AE94" i="10"/>
  <c r="AE126" i="10"/>
  <c r="AE158" i="10"/>
  <c r="AE190" i="10"/>
  <c r="AE79" i="10"/>
  <c r="AE121" i="10"/>
  <c r="AE164" i="10"/>
  <c r="AE60" i="10"/>
  <c r="AE145" i="10"/>
  <c r="AE72" i="10"/>
  <c r="AE115" i="10"/>
  <c r="AE157" i="10"/>
  <c r="AE200" i="10"/>
  <c r="AE140" i="10"/>
  <c r="AE187" i="10"/>
  <c r="AE117" i="10"/>
  <c r="AE78" i="10"/>
  <c r="AE110" i="10"/>
  <c r="AE142" i="10"/>
  <c r="AE174" i="10"/>
  <c r="AE57" i="10"/>
  <c r="AE100" i="10"/>
  <c r="AE143" i="10"/>
  <c r="AE185" i="10"/>
  <c r="AE103" i="10"/>
  <c r="AE188" i="10"/>
  <c r="AE93" i="10"/>
  <c r="AE136" i="10"/>
  <c r="AE179" i="10"/>
  <c r="AE97" i="10"/>
  <c r="AE183" i="10"/>
  <c r="AE101" i="10"/>
  <c r="AD9" i="10"/>
  <c r="AF9" i="10" s="1"/>
  <c r="AD63" i="10"/>
  <c r="AD74" i="10"/>
  <c r="AF74" i="10" s="1"/>
  <c r="AD85" i="10"/>
  <c r="AD90" i="10"/>
  <c r="AD58" i="10"/>
  <c r="AF58" i="10" s="1"/>
  <c r="AD69" i="10"/>
  <c r="AF69" i="10" s="1"/>
  <c r="AD79" i="10"/>
  <c r="AF79" i="10" s="1"/>
  <c r="AD57" i="10"/>
  <c r="AF57" i="10" s="1"/>
  <c r="AD78" i="10"/>
  <c r="AD95" i="10"/>
  <c r="AF95" i="10" s="1"/>
  <c r="AD106" i="10"/>
  <c r="AD117" i="10"/>
  <c r="AF117" i="10" s="1"/>
  <c r="AD127" i="10"/>
  <c r="AF127" i="10" s="1"/>
  <c r="AD138" i="10"/>
  <c r="AF138" i="10" s="1"/>
  <c r="AD149" i="10"/>
  <c r="AD159" i="10"/>
  <c r="AF159" i="10" s="1"/>
  <c r="AD170" i="10"/>
  <c r="AF170" i="10" s="1"/>
  <c r="AD181" i="10"/>
  <c r="AF181" i="10" s="1"/>
  <c r="AD191" i="10"/>
  <c r="AF191" i="10" s="1"/>
  <c r="AD202" i="10"/>
  <c r="AF202" i="10" s="1"/>
  <c r="AD73" i="10"/>
  <c r="AF73" i="10" s="1"/>
  <c r="AD105" i="10"/>
  <c r="AF105" i="10" s="1"/>
  <c r="AD126" i="10"/>
  <c r="AF126" i="10" s="1"/>
  <c r="AD147" i="10"/>
  <c r="AF147" i="10" s="1"/>
  <c r="AD179" i="10"/>
  <c r="AF179" i="10" s="1"/>
  <c r="AD201" i="10"/>
  <c r="AF201" i="10" s="1"/>
  <c r="AD89" i="10"/>
  <c r="AF89" i="10" s="1"/>
  <c r="AD111" i="10"/>
  <c r="AF111" i="10" s="1"/>
  <c r="AD133" i="10"/>
  <c r="AF133" i="10" s="1"/>
  <c r="AD154" i="10"/>
  <c r="AF154" i="10" s="1"/>
  <c r="AD175" i="10"/>
  <c r="AF175" i="10" s="1"/>
  <c r="AD197" i="10"/>
  <c r="AF197" i="10" s="1"/>
  <c r="AD62" i="10"/>
  <c r="AF62" i="10" s="1"/>
  <c r="AD83" i="10"/>
  <c r="AF83" i="10" s="1"/>
  <c r="AD99" i="10"/>
  <c r="AD110" i="10"/>
  <c r="AF110" i="10" s="1"/>
  <c r="AD121" i="10"/>
  <c r="AQ121" i="10" s="1"/>
  <c r="AD131" i="10"/>
  <c r="AF131" i="10" s="1"/>
  <c r="AD142" i="10"/>
  <c r="AF142" i="10" s="1"/>
  <c r="AD153" i="10"/>
  <c r="AF153" i="10" s="1"/>
  <c r="AD163" i="10"/>
  <c r="AF163" i="10" s="1"/>
  <c r="AD174" i="10"/>
  <c r="AF174" i="10" s="1"/>
  <c r="AD185" i="10"/>
  <c r="AF185" i="10" s="1"/>
  <c r="AD195" i="10"/>
  <c r="AF195" i="10" s="1"/>
  <c r="AD94" i="10"/>
  <c r="AF94" i="10" s="1"/>
  <c r="AD115" i="10"/>
  <c r="AD137" i="10"/>
  <c r="AF137" i="10" s="1"/>
  <c r="AD158" i="10"/>
  <c r="AF158" i="10" s="1"/>
  <c r="AD169" i="10"/>
  <c r="AF169" i="10" s="1"/>
  <c r="AD190" i="10"/>
  <c r="AF190" i="10" s="1"/>
  <c r="AD67" i="10"/>
  <c r="AF67" i="10" s="1"/>
  <c r="AD101" i="10"/>
  <c r="AF101" i="10" s="1"/>
  <c r="AD122" i="10"/>
  <c r="AF122" i="10" s="1"/>
  <c r="AD143" i="10"/>
  <c r="AF143" i="10" s="1"/>
  <c r="AD165" i="10"/>
  <c r="AD186" i="10"/>
  <c r="AD60" i="10"/>
  <c r="AF60" i="10" s="1"/>
  <c r="AD76" i="10"/>
  <c r="AF76" i="10" s="1"/>
  <c r="AD92" i="10"/>
  <c r="AF92" i="10" s="1"/>
  <c r="AD108" i="10"/>
  <c r="AF108" i="10" s="1"/>
  <c r="AD124" i="10"/>
  <c r="AF124" i="10" s="1"/>
  <c r="AD140" i="10"/>
  <c r="AF140" i="10" s="1"/>
  <c r="AD156" i="10"/>
  <c r="AF156" i="10" s="1"/>
  <c r="AD172" i="10"/>
  <c r="AF172" i="10" s="1"/>
  <c r="AD188" i="10"/>
  <c r="AD193" i="10"/>
  <c r="AF193" i="10" s="1"/>
  <c r="AD171" i="10"/>
  <c r="AD150" i="10"/>
  <c r="AD129" i="10"/>
  <c r="AF129" i="10" s="1"/>
  <c r="AD107" i="10"/>
  <c r="AF107" i="10" s="1"/>
  <c r="AD86" i="10"/>
  <c r="AD65" i="10"/>
  <c r="AF65" i="10" s="1"/>
  <c r="AD189" i="10"/>
  <c r="AF189" i="10" s="1"/>
  <c r="AD167" i="10"/>
  <c r="AF167" i="10" s="1"/>
  <c r="AD146" i="10"/>
  <c r="AF146" i="10" s="1"/>
  <c r="AD125" i="10"/>
  <c r="AF125" i="10" s="1"/>
  <c r="AD103" i="10"/>
  <c r="AF103" i="10" s="1"/>
  <c r="AD82" i="10"/>
  <c r="AF82" i="10" s="1"/>
  <c r="AD61" i="10"/>
  <c r="AQ61" i="10" s="1"/>
  <c r="AD72" i="10"/>
  <c r="AF72" i="10" s="1"/>
  <c r="AD104" i="10"/>
  <c r="AF104" i="10" s="1"/>
  <c r="AD136" i="10"/>
  <c r="AF136" i="10" s="1"/>
  <c r="AD168" i="10"/>
  <c r="AF168" i="10" s="1"/>
  <c r="AD200" i="10"/>
  <c r="AQ200" i="10" s="1"/>
  <c r="AD198" i="10"/>
  <c r="AF198" i="10" s="1"/>
  <c r="AD155" i="10"/>
  <c r="AQ155" i="10" s="1"/>
  <c r="AD113" i="10"/>
  <c r="AF113" i="10" s="1"/>
  <c r="AD70" i="10"/>
  <c r="AF70" i="10" s="1"/>
  <c r="AD173" i="10"/>
  <c r="AF173" i="10" s="1"/>
  <c r="AD130" i="10"/>
  <c r="AF130" i="10" s="1"/>
  <c r="AD87" i="10"/>
  <c r="AQ87" i="10" s="1"/>
  <c r="AD68" i="10"/>
  <c r="AD100" i="10"/>
  <c r="AD132" i="10"/>
  <c r="AF132" i="10" s="1"/>
  <c r="AD164" i="10"/>
  <c r="AF164" i="10" s="1"/>
  <c r="AD196" i="10"/>
  <c r="AQ196" i="10" s="1"/>
  <c r="AD161" i="10"/>
  <c r="AF161" i="10" s="1"/>
  <c r="AD139" i="10"/>
  <c r="AF139" i="10" s="1"/>
  <c r="AD97" i="10"/>
  <c r="AD199" i="10"/>
  <c r="AF199" i="10" s="1"/>
  <c r="AD157" i="10"/>
  <c r="AF157" i="10" s="1"/>
  <c r="AD114" i="10"/>
  <c r="AF114" i="10" s="1"/>
  <c r="AD71" i="10"/>
  <c r="AD64" i="10"/>
  <c r="AF64" i="10" s="1"/>
  <c r="AD80" i="10"/>
  <c r="AF80" i="10" s="1"/>
  <c r="AD96" i="10"/>
  <c r="AF96" i="10" s="1"/>
  <c r="AD112" i="10"/>
  <c r="AF112" i="10" s="1"/>
  <c r="AD128" i="10"/>
  <c r="AF128" i="10" s="1"/>
  <c r="AD144" i="10"/>
  <c r="AF144" i="10" s="1"/>
  <c r="AD160" i="10"/>
  <c r="AF160" i="10" s="1"/>
  <c r="AD176" i="10"/>
  <c r="AD192" i="10"/>
  <c r="AF192" i="10" s="1"/>
  <c r="AD187" i="10"/>
  <c r="AD166" i="10"/>
  <c r="AF166" i="10" s="1"/>
  <c r="AD145" i="10"/>
  <c r="AD123" i="10"/>
  <c r="AF123" i="10" s="1"/>
  <c r="AD102" i="10"/>
  <c r="AF102" i="10" s="1"/>
  <c r="AD81" i="10"/>
  <c r="AF81" i="10" s="1"/>
  <c r="AD59" i="10"/>
  <c r="AF59" i="10" s="1"/>
  <c r="AD183" i="10"/>
  <c r="AF183" i="10" s="1"/>
  <c r="AD162" i="10"/>
  <c r="AF162" i="10" s="1"/>
  <c r="AD141" i="10"/>
  <c r="AF141" i="10" s="1"/>
  <c r="AD119" i="10"/>
  <c r="AF119" i="10" s="1"/>
  <c r="AD98" i="10"/>
  <c r="AF98" i="10" s="1"/>
  <c r="AD77" i="10"/>
  <c r="AF77" i="10" s="1"/>
  <c r="AD88" i="10"/>
  <c r="AF88" i="10" s="1"/>
  <c r="AD120" i="10"/>
  <c r="AF120" i="10" s="1"/>
  <c r="AD152" i="10"/>
  <c r="AF152" i="10" s="1"/>
  <c r="AD184" i="10"/>
  <c r="AF184" i="10" s="1"/>
  <c r="AD177" i="10"/>
  <c r="AF177" i="10" s="1"/>
  <c r="AD134" i="10"/>
  <c r="AF134" i="10" s="1"/>
  <c r="AD91" i="10"/>
  <c r="AF91" i="10" s="1"/>
  <c r="AD194" i="10"/>
  <c r="AF194" i="10" s="1"/>
  <c r="AD151" i="10"/>
  <c r="AQ151" i="10" s="1"/>
  <c r="AD109" i="10"/>
  <c r="AD66" i="10"/>
  <c r="AD84" i="10"/>
  <c r="AF84" i="10" s="1"/>
  <c r="AD116" i="10"/>
  <c r="AF116" i="10" s="1"/>
  <c r="AD148" i="10"/>
  <c r="AF148" i="10" s="1"/>
  <c r="AD180" i="10"/>
  <c r="AD182" i="10"/>
  <c r="AF182" i="10" s="1"/>
  <c r="AD118" i="10"/>
  <c r="AF118" i="10" s="1"/>
  <c r="AD75" i="10"/>
  <c r="AD178" i="10"/>
  <c r="AF178" i="10" s="1"/>
  <c r="AD135" i="10"/>
  <c r="AF135" i="10" s="1"/>
  <c r="AD93" i="10"/>
  <c r="AQ93" i="10" s="1"/>
  <c r="AE86" i="10"/>
  <c r="AE150" i="10"/>
  <c r="AE68" i="10"/>
  <c r="AF68" i="10" s="1"/>
  <c r="AE153" i="10"/>
  <c r="AE124" i="10"/>
  <c r="AE104" i="10"/>
  <c r="AE189" i="10"/>
  <c r="AE144" i="10"/>
  <c r="AE114" i="10"/>
  <c r="AE178" i="10"/>
  <c r="AE105" i="10"/>
  <c r="AE113" i="10"/>
  <c r="AE184" i="10"/>
  <c r="AE165" i="10"/>
  <c r="AE58" i="10"/>
  <c r="AE122" i="10"/>
  <c r="AE186" i="10"/>
  <c r="AE116" i="10"/>
  <c r="AE201" i="10"/>
  <c r="AE67" i="10"/>
  <c r="AE152" i="10"/>
  <c r="AE129" i="10"/>
  <c r="AE71" i="10"/>
  <c r="AE163" i="10"/>
  <c r="AE181" i="10"/>
  <c r="AE166" i="10"/>
  <c r="AE89" i="10"/>
  <c r="AE175" i="10"/>
  <c r="AE167" i="10"/>
  <c r="AE125" i="10"/>
  <c r="AE76" i="10"/>
  <c r="AE59" i="10"/>
  <c r="AE66" i="10"/>
  <c r="AF66" i="10" s="1"/>
  <c r="AE130" i="10"/>
  <c r="AE194" i="10"/>
  <c r="AE148" i="10"/>
  <c r="AE199" i="10"/>
  <c r="AE108" i="10"/>
  <c r="AE74" i="10"/>
  <c r="AE138" i="10"/>
  <c r="AE202" i="10"/>
  <c r="AE137" i="10"/>
  <c r="AE92" i="10"/>
  <c r="AE88" i="10"/>
  <c r="AE173" i="10"/>
  <c r="AE172" i="10"/>
  <c r="AE123" i="10"/>
  <c r="AE139" i="10"/>
  <c r="AE156" i="10"/>
  <c r="AE65" i="10"/>
  <c r="AE80" i="10"/>
  <c r="AE43" i="10"/>
  <c r="AD19" i="10"/>
  <c r="AF19" i="10" s="1"/>
  <c r="AD16" i="10"/>
  <c r="AF16" i="10" s="1"/>
  <c r="AD11" i="10"/>
  <c r="AF11" i="10" s="1"/>
  <c r="AD54" i="10"/>
  <c r="AF54" i="10" s="1"/>
  <c r="AD4" i="10"/>
  <c r="AF4" i="10" s="1"/>
  <c r="AD52" i="10"/>
  <c r="AD49" i="10"/>
  <c r="AF49" i="10" s="1"/>
  <c r="AE18" i="10"/>
  <c r="AD34" i="10"/>
  <c r="AD48" i="10"/>
  <c r="AD14" i="10"/>
  <c r="AD33" i="10"/>
  <c r="AF33" i="10" s="1"/>
  <c r="AD51" i="10"/>
  <c r="AF51" i="10" s="1"/>
  <c r="AD20" i="10"/>
  <c r="AF20" i="10" s="1"/>
  <c r="AD47" i="10"/>
  <c r="AF47" i="10" s="1"/>
  <c r="AD29" i="10"/>
  <c r="AF29" i="10" s="1"/>
  <c r="AE56" i="10"/>
  <c r="AE49" i="10"/>
  <c r="AE37" i="10"/>
  <c r="AD43" i="10"/>
  <c r="AF43" i="10" s="1"/>
  <c r="AD36" i="10"/>
  <c r="AD22" i="10"/>
  <c r="AF22" i="10" s="1"/>
  <c r="AD3" i="10"/>
  <c r="AF3" i="10" s="1"/>
  <c r="AD17" i="10"/>
  <c r="AF17" i="10" s="1"/>
  <c r="AE6" i="10"/>
  <c r="AE5" i="10"/>
  <c r="AD26" i="10"/>
  <c r="AF26" i="10" s="1"/>
  <c r="AD15" i="10"/>
  <c r="AD32" i="10"/>
  <c r="AF32" i="10" s="1"/>
  <c r="AD50" i="10"/>
  <c r="AF50" i="10" s="1"/>
  <c r="AD39" i="10"/>
  <c r="AD45" i="10"/>
  <c r="AF45" i="10" s="1"/>
  <c r="AD13" i="10"/>
  <c r="AF13" i="10" s="1"/>
  <c r="AE12" i="10"/>
  <c r="AE23" i="10"/>
  <c r="AE25" i="10"/>
  <c r="AD38" i="10"/>
  <c r="AF38" i="10" s="1"/>
  <c r="AD6" i="10"/>
  <c r="AF6" i="10" s="1"/>
  <c r="AD27" i="10"/>
  <c r="AF27" i="10" s="1"/>
  <c r="AD56" i="10"/>
  <c r="AF56" i="10" s="1"/>
  <c r="AD40" i="10"/>
  <c r="AF40" i="10" s="1"/>
  <c r="AD24" i="10"/>
  <c r="AF24" i="10" s="1"/>
  <c r="AD8" i="10"/>
  <c r="AF8" i="10" s="1"/>
  <c r="AD30" i="10"/>
  <c r="AF30" i="10" s="1"/>
  <c r="AD55" i="10"/>
  <c r="AF55" i="10" s="1"/>
  <c r="AD23" i="10"/>
  <c r="AF23" i="10" s="1"/>
  <c r="AD53" i="10"/>
  <c r="AF53" i="10" s="1"/>
  <c r="AD37" i="10"/>
  <c r="AF37" i="10" s="1"/>
  <c r="AD21" i="10"/>
  <c r="AD5" i="10"/>
  <c r="AF5" i="10" s="1"/>
  <c r="AE32" i="10"/>
  <c r="AE3" i="10"/>
  <c r="AE4" i="10"/>
  <c r="AD46" i="10"/>
  <c r="AF46" i="10" s="1"/>
  <c r="AD18" i="10"/>
  <c r="AF18" i="10" s="1"/>
  <c r="AD35" i="10"/>
  <c r="AF35" i="10" s="1"/>
  <c r="AD7" i="10"/>
  <c r="AF7" i="10" s="1"/>
  <c r="AD44" i="10"/>
  <c r="AF44" i="10" s="1"/>
  <c r="AD28" i="10"/>
  <c r="AF28" i="10" s="1"/>
  <c r="AD12" i="10"/>
  <c r="AF12" i="10" s="1"/>
  <c r="AD42" i="10"/>
  <c r="AF42" i="10" s="1"/>
  <c r="AD10" i="10"/>
  <c r="AF10" i="10" s="1"/>
  <c r="AD31" i="10"/>
  <c r="AF31" i="10" s="1"/>
  <c r="AD2" i="10"/>
  <c r="AF2" i="10" s="1"/>
  <c r="AD41" i="10"/>
  <c r="AF41" i="10" s="1"/>
  <c r="AD25" i="10"/>
  <c r="AE33" i="10"/>
  <c r="AE54" i="10"/>
  <c r="AE51" i="10"/>
  <c r="AE53" i="10"/>
  <c r="AE36" i="10"/>
  <c r="AE7" i="10"/>
  <c r="AE8" i="10"/>
  <c r="AE20" i="10"/>
  <c r="AE22" i="10"/>
  <c r="AE13" i="10"/>
  <c r="AE44" i="10"/>
  <c r="AE34" i="10"/>
  <c r="AE31" i="10"/>
  <c r="AE10" i="10"/>
  <c r="AE9" i="10"/>
  <c r="AE30" i="10"/>
  <c r="AE28" i="10"/>
  <c r="AE14" i="10"/>
  <c r="AE46" i="10"/>
  <c r="AE11" i="10"/>
  <c r="AE17" i="10"/>
  <c r="AE27" i="10"/>
  <c r="AE45" i="10"/>
  <c r="AE24" i="10"/>
  <c r="AE40" i="10"/>
  <c r="AE15" i="10"/>
  <c r="AE55" i="10"/>
  <c r="AE47" i="10"/>
  <c r="AE52" i="10"/>
  <c r="AE38" i="10"/>
  <c r="AE29" i="10"/>
  <c r="AE19" i="10"/>
  <c r="AE50" i="10"/>
  <c r="AE21" i="10"/>
  <c r="AE42" i="10"/>
  <c r="AE41" i="10"/>
  <c r="AE16" i="10"/>
  <c r="AE26" i="10"/>
  <c r="AE48" i="10"/>
  <c r="AE35" i="10"/>
  <c r="AE39" i="10"/>
  <c r="AQ115" i="10" l="1"/>
  <c r="AF115" i="10"/>
  <c r="AF155" i="10"/>
  <c r="AF93" i="10"/>
  <c r="AH93" i="10" s="1"/>
  <c r="AI93" i="10" s="1"/>
  <c r="AT93" i="10" s="1"/>
  <c r="AF39" i="10"/>
  <c r="AF14" i="10"/>
  <c r="AF187" i="10"/>
  <c r="AQ100" i="10"/>
  <c r="AF100" i="10"/>
  <c r="AQ188" i="10"/>
  <c r="AF188" i="10"/>
  <c r="AF151" i="10"/>
  <c r="AH151" i="10" s="1"/>
  <c r="AI151" i="10" s="1"/>
  <c r="AT151" i="10" s="1"/>
  <c r="AF61" i="10"/>
  <c r="AF200" i="10"/>
  <c r="AF15" i="10"/>
  <c r="AF25" i="10"/>
  <c r="AF48" i="10"/>
  <c r="AF52" i="10"/>
  <c r="AF180" i="10"/>
  <c r="AF150" i="10"/>
  <c r="AQ90" i="10"/>
  <c r="AF90" i="10"/>
  <c r="AF121" i="10"/>
  <c r="AF21" i="10"/>
  <c r="AF36" i="10"/>
  <c r="AF34" i="10"/>
  <c r="AQ176" i="10"/>
  <c r="AF176" i="10"/>
  <c r="AH176" i="10" s="1"/>
  <c r="AI176" i="10" s="1"/>
  <c r="AT176" i="10" s="1"/>
  <c r="AF71" i="10"/>
  <c r="AF165" i="10"/>
  <c r="AQ99" i="10"/>
  <c r="AF99" i="10"/>
  <c r="AH99" i="10" s="1"/>
  <c r="AI99" i="10" s="1"/>
  <c r="AT99" i="10" s="1"/>
  <c r="AF149" i="10"/>
  <c r="AF196" i="10"/>
  <c r="AH196" i="10" s="1"/>
  <c r="AI196" i="10" s="1"/>
  <c r="AT196" i="10" s="1"/>
  <c r="AQ79" i="10"/>
  <c r="AG59" i="10"/>
  <c r="AQ175" i="10"/>
  <c r="AQ59" i="10"/>
  <c r="AQ145" i="10"/>
  <c r="AQ191" i="10"/>
  <c r="AQ85" i="10"/>
  <c r="AQ123" i="10"/>
  <c r="AQ65" i="10"/>
  <c r="AG172" i="10"/>
  <c r="AG96" i="10"/>
  <c r="AG193" i="10"/>
  <c r="AG83" i="10"/>
  <c r="AQ159" i="10"/>
  <c r="AQ64" i="10"/>
  <c r="AQ185" i="10"/>
  <c r="AQ172" i="10"/>
  <c r="AQ193" i="10"/>
  <c r="AQ143" i="10"/>
  <c r="AQ120" i="10"/>
  <c r="AQ109" i="10"/>
  <c r="AQ129" i="10"/>
  <c r="AQ96" i="10"/>
  <c r="AQ83" i="10"/>
  <c r="AQ57" i="10"/>
  <c r="AQ84" i="10"/>
  <c r="AQ102" i="10"/>
  <c r="AQ198" i="10"/>
  <c r="AQ73" i="10"/>
  <c r="AQ127" i="10"/>
  <c r="AG51" i="10"/>
  <c r="AQ51" i="10"/>
  <c r="AG20" i="10"/>
  <c r="AQ20" i="10"/>
  <c r="AQ86" i="10"/>
  <c r="AQ101" i="10"/>
  <c r="AQ197" i="10"/>
  <c r="AQ192" i="10"/>
  <c r="AG4" i="10"/>
  <c r="AQ4" i="10"/>
  <c r="AH5" i="10"/>
  <c r="AI5" i="10" s="1"/>
  <c r="AQ5" i="10"/>
  <c r="AG15" i="10"/>
  <c r="AQ15" i="10"/>
  <c r="AH54" i="10"/>
  <c r="AI54" i="10" s="1"/>
  <c r="AQ54" i="10"/>
  <c r="AH43" i="10"/>
  <c r="AI43" i="10" s="1"/>
  <c r="AQ43" i="10"/>
  <c r="AQ75" i="10"/>
  <c r="AQ182" i="10"/>
  <c r="AQ162" i="10"/>
  <c r="AQ169" i="10"/>
  <c r="AQ107" i="10"/>
  <c r="AQ111" i="10"/>
  <c r="AQ134" i="10"/>
  <c r="AQ146" i="10"/>
  <c r="AH11" i="10"/>
  <c r="AI11" i="10" s="1"/>
  <c r="AQ132" i="10"/>
  <c r="AH131" i="10"/>
  <c r="AI131" i="10" s="1"/>
  <c r="AQ71" i="10"/>
  <c r="AH72" i="10"/>
  <c r="AI72" i="10" s="1"/>
  <c r="AH150" i="10"/>
  <c r="AI150" i="10" s="1"/>
  <c r="AH103" i="10"/>
  <c r="AI103" i="10" s="1"/>
  <c r="AH88" i="10"/>
  <c r="AI88" i="10" s="1"/>
  <c r="AH141" i="10"/>
  <c r="AI141" i="10" s="1"/>
  <c r="AG81" i="10"/>
  <c r="AG160" i="10"/>
  <c r="AH82" i="10"/>
  <c r="AI82" i="10" s="1"/>
  <c r="AQ190" i="10"/>
  <c r="AH105" i="10"/>
  <c r="AI105" i="10" s="1"/>
  <c r="AG95" i="10"/>
  <c r="AH69" i="10"/>
  <c r="AI69" i="10" s="1"/>
  <c r="AH183" i="10"/>
  <c r="AI183" i="10" s="1"/>
  <c r="AH106" i="10"/>
  <c r="AI106" i="10" s="1"/>
  <c r="AH195" i="10"/>
  <c r="AI195" i="10" s="1"/>
  <c r="AG184" i="10"/>
  <c r="AH104" i="10"/>
  <c r="AI104" i="10" s="1"/>
  <c r="AG124" i="10"/>
  <c r="AG129" i="10"/>
  <c r="AH129" i="10"/>
  <c r="AI129" i="10" s="1"/>
  <c r="AH68" i="10"/>
  <c r="AI68" i="10" s="1"/>
  <c r="AH175" i="10"/>
  <c r="AI175" i="10" s="1"/>
  <c r="AT175" i="10" s="1"/>
  <c r="AG143" i="10"/>
  <c r="AH143" i="10"/>
  <c r="AI143" i="10" s="1"/>
  <c r="AG102" i="10"/>
  <c r="AG151" i="10"/>
  <c r="AG155" i="10"/>
  <c r="AH155" i="10"/>
  <c r="AI155" i="10" s="1"/>
  <c r="AT155" i="10" s="1"/>
  <c r="AH200" i="10"/>
  <c r="AI200" i="10" s="1"/>
  <c r="AT200" i="10" s="1"/>
  <c r="AG200" i="10"/>
  <c r="AH100" i="10"/>
  <c r="AI100" i="10" s="1"/>
  <c r="AT100" i="10" s="1"/>
  <c r="AG100" i="10"/>
  <c r="AH188" i="10"/>
  <c r="AI188" i="10" s="1"/>
  <c r="AT188" i="10" s="1"/>
  <c r="AG188" i="10"/>
  <c r="AG93" i="10"/>
  <c r="AG115" i="10"/>
  <c r="AH115" i="10"/>
  <c r="AI115" i="10" s="1"/>
  <c r="AT115" i="10" s="1"/>
  <c r="AG109" i="10"/>
  <c r="AH109" i="10"/>
  <c r="AI109" i="10" s="1"/>
  <c r="AG176" i="10"/>
  <c r="AG87" i="10"/>
  <c r="AH87" i="10"/>
  <c r="AI87" i="10" s="1"/>
  <c r="AT87" i="10" s="1"/>
  <c r="AG61" i="10"/>
  <c r="AH61" i="10"/>
  <c r="AI61" i="10" s="1"/>
  <c r="AT61" i="10" s="1"/>
  <c r="AG99" i="10"/>
  <c r="AQ114" i="10"/>
  <c r="AQ74" i="10"/>
  <c r="AQ148" i="10"/>
  <c r="AQ112" i="10"/>
  <c r="AQ164" i="10"/>
  <c r="AQ156" i="10"/>
  <c r="AQ92" i="10"/>
  <c r="AQ67" i="10"/>
  <c r="AQ142" i="10"/>
  <c r="AG121" i="10"/>
  <c r="AH121" i="10"/>
  <c r="AI121" i="10" s="1"/>
  <c r="AT121" i="10" s="1"/>
  <c r="AH120" i="10"/>
  <c r="AI120" i="10" s="1"/>
  <c r="AG120" i="10"/>
  <c r="AG185" i="10"/>
  <c r="AH185" i="10"/>
  <c r="AI185" i="10" s="1"/>
  <c r="AH64" i="10"/>
  <c r="AI64" i="10" s="1"/>
  <c r="AG64" i="10"/>
  <c r="AG196" i="10"/>
  <c r="AH90" i="10"/>
  <c r="AI90" i="10" s="1"/>
  <c r="AT90" i="10" s="1"/>
  <c r="AG90" i="10"/>
  <c r="AQ189" i="10"/>
  <c r="AQ116" i="10"/>
  <c r="AQ181" i="10"/>
  <c r="AQ178" i="10"/>
  <c r="AQ152" i="10"/>
  <c r="AQ128" i="10"/>
  <c r="AQ199" i="10"/>
  <c r="AQ108" i="10"/>
  <c r="AQ186" i="10"/>
  <c r="AQ158" i="10"/>
  <c r="AQ110" i="10"/>
  <c r="AQ202" i="10"/>
  <c r="AG43" i="10"/>
  <c r="AH4" i="10"/>
  <c r="AI4" i="10" s="1"/>
  <c r="AH51" i="10"/>
  <c r="AI51" i="10" s="1"/>
  <c r="AH15" i="10"/>
  <c r="AI15" i="10" s="1"/>
  <c r="AG5" i="10"/>
  <c r="AH20" i="10"/>
  <c r="AI20" i="10" s="1"/>
  <c r="AG54" i="10"/>
  <c r="AG79" i="10" l="1"/>
  <c r="AJ79" i="10" s="1"/>
  <c r="AS79" i="10" s="1"/>
  <c r="AH191" i="10"/>
  <c r="AI191" i="10" s="1"/>
  <c r="AT191" i="10" s="1"/>
  <c r="AH79" i="10"/>
  <c r="AI79" i="10" s="1"/>
  <c r="AT79" i="10" s="1"/>
  <c r="AH85" i="10"/>
  <c r="AI85" i="10" s="1"/>
  <c r="AT85" i="10" s="1"/>
  <c r="AH59" i="10"/>
  <c r="AI59" i="10" s="1"/>
  <c r="AT59" i="10" s="1"/>
  <c r="AG85" i="10"/>
  <c r="AJ85" i="10" s="1"/>
  <c r="AS85" i="10" s="1"/>
  <c r="AG175" i="10"/>
  <c r="AJ175" i="10" s="1"/>
  <c r="AS175" i="10" s="1"/>
  <c r="AH145" i="10"/>
  <c r="AI145" i="10" s="1"/>
  <c r="AT145" i="10" s="1"/>
  <c r="AG191" i="10"/>
  <c r="AJ191" i="10" s="1"/>
  <c r="AS191" i="10" s="1"/>
  <c r="AG145" i="10"/>
  <c r="AJ145" i="10" s="1"/>
  <c r="AS145" i="10" s="1"/>
  <c r="AH96" i="10"/>
  <c r="AI96" i="10" s="1"/>
  <c r="AT96" i="10" s="1"/>
  <c r="AH123" i="10"/>
  <c r="AI123" i="10" s="1"/>
  <c r="AT123" i="10" s="1"/>
  <c r="AH193" i="10"/>
  <c r="AI193" i="10" s="1"/>
  <c r="AT193" i="10" s="1"/>
  <c r="AG123" i="10"/>
  <c r="AJ123" i="10" s="1"/>
  <c r="AS123" i="10" s="1"/>
  <c r="AH83" i="10"/>
  <c r="AI83" i="10" s="1"/>
  <c r="AT83" i="10" s="1"/>
  <c r="AH65" i="10"/>
  <c r="AI65" i="10" s="1"/>
  <c r="AT65" i="10" s="1"/>
  <c r="AG65" i="10"/>
  <c r="AJ65" i="10" s="1"/>
  <c r="AS65" i="10" s="1"/>
  <c r="AT64" i="10"/>
  <c r="AG159" i="10"/>
  <c r="AJ159" i="10" s="1"/>
  <c r="AS159" i="10" s="1"/>
  <c r="AT129" i="10"/>
  <c r="AH172" i="10"/>
  <c r="AI172" i="10" s="1"/>
  <c r="AT172" i="10" s="1"/>
  <c r="AH159" i="10"/>
  <c r="AI159" i="10" s="1"/>
  <c r="AT159" i="10" s="1"/>
  <c r="AT143" i="10"/>
  <c r="AT185" i="10"/>
  <c r="AT120" i="10"/>
  <c r="AT109" i="10"/>
  <c r="AH57" i="10"/>
  <c r="AI57" i="10" s="1"/>
  <c r="AT57" i="10" s="1"/>
  <c r="AG57" i="10"/>
  <c r="AJ57" i="10" s="1"/>
  <c r="AS57" i="10" s="1"/>
  <c r="AG127" i="10"/>
  <c r="AH169" i="10"/>
  <c r="AI169" i="10" s="1"/>
  <c r="AT169" i="10" s="1"/>
  <c r="AG84" i="10"/>
  <c r="AJ84" i="10" s="1"/>
  <c r="AS84" i="10" s="1"/>
  <c r="AH73" i="10"/>
  <c r="AI73" i="10" s="1"/>
  <c r="AT73" i="10" s="1"/>
  <c r="AH84" i="10"/>
  <c r="AI84" i="10" s="1"/>
  <c r="AT84" i="10" s="1"/>
  <c r="AH102" i="10"/>
  <c r="AI102" i="10" s="1"/>
  <c r="AT102" i="10" s="1"/>
  <c r="AG71" i="10"/>
  <c r="AJ71" i="10" s="1"/>
  <c r="AS71" i="10" s="1"/>
  <c r="AG73" i="10"/>
  <c r="AJ73" i="10" s="1"/>
  <c r="AS73" i="10" s="1"/>
  <c r="AH198" i="10"/>
  <c r="AI198" i="10" s="1"/>
  <c r="AT198" i="10" s="1"/>
  <c r="AH127" i="10"/>
  <c r="AI127" i="10" s="1"/>
  <c r="AT127" i="10" s="1"/>
  <c r="AT54" i="10"/>
  <c r="AT5" i="10"/>
  <c r="AH75" i="10"/>
  <c r="AI75" i="10" s="1"/>
  <c r="AT75" i="10" s="1"/>
  <c r="AT43" i="10"/>
  <c r="AT15" i="10"/>
  <c r="AT4" i="10"/>
  <c r="AT51" i="10"/>
  <c r="AG2" i="10"/>
  <c r="AJ2" i="10" s="1"/>
  <c r="AS2" i="10" s="1"/>
  <c r="AH2" i="10"/>
  <c r="AI2" i="10" s="1"/>
  <c r="AH71" i="10"/>
  <c r="AI71" i="10" s="1"/>
  <c r="AT71" i="10" s="1"/>
  <c r="AG169" i="10"/>
  <c r="AJ169" i="10" s="1"/>
  <c r="AS169" i="10" s="1"/>
  <c r="AG198" i="10"/>
  <c r="AJ198" i="10" s="1"/>
  <c r="AS198" i="10" s="1"/>
  <c r="AT20" i="10"/>
  <c r="AG134" i="10"/>
  <c r="AJ134" i="10" s="1"/>
  <c r="AS134" i="10" s="1"/>
  <c r="AH197" i="10"/>
  <c r="AI197" i="10" s="1"/>
  <c r="AT197" i="10" s="1"/>
  <c r="AH101" i="10"/>
  <c r="AI101" i="10" s="1"/>
  <c r="AT101" i="10" s="1"/>
  <c r="AG75" i="10"/>
  <c r="AJ75" i="10" s="1"/>
  <c r="AS75" i="10" s="1"/>
  <c r="AH190" i="10"/>
  <c r="AI190" i="10" s="1"/>
  <c r="AT190" i="10" s="1"/>
  <c r="AG197" i="10"/>
  <c r="AH134" i="10"/>
  <c r="AI134" i="10" s="1"/>
  <c r="AT134" i="10" s="1"/>
  <c r="AG190" i="10"/>
  <c r="AJ190" i="10" s="1"/>
  <c r="AS190" i="10" s="1"/>
  <c r="AH146" i="10"/>
  <c r="AI146" i="10" s="1"/>
  <c r="AT146" i="10" s="1"/>
  <c r="AH86" i="10"/>
  <c r="AI86" i="10" s="1"/>
  <c r="AT86" i="10" s="1"/>
  <c r="AH107" i="10"/>
  <c r="AI107" i="10" s="1"/>
  <c r="AT107" i="10" s="1"/>
  <c r="AH182" i="10"/>
  <c r="AI182" i="10" s="1"/>
  <c r="AT182" i="10" s="1"/>
  <c r="AG86" i="10"/>
  <c r="AJ86" i="10" s="1"/>
  <c r="AS86" i="10" s="1"/>
  <c r="AG101" i="10"/>
  <c r="AG162" i="10"/>
  <c r="AH111" i="10"/>
  <c r="AI111" i="10" s="1"/>
  <c r="AT111" i="10" s="1"/>
  <c r="AJ54" i="10"/>
  <c r="AS54" i="10" s="1"/>
  <c r="AJ43" i="10"/>
  <c r="AS43" i="10" s="1"/>
  <c r="AH7" i="10"/>
  <c r="AI7" i="10" s="1"/>
  <c r="AQ7" i="10"/>
  <c r="AG55" i="10"/>
  <c r="AQ55" i="10"/>
  <c r="AH44" i="10"/>
  <c r="AI44" i="10" s="1"/>
  <c r="AQ44" i="10"/>
  <c r="AG32" i="10"/>
  <c r="AQ32" i="10"/>
  <c r="AG50" i="10"/>
  <c r="AQ50" i="10"/>
  <c r="AG36" i="10"/>
  <c r="AQ36" i="10"/>
  <c r="AH17" i="10"/>
  <c r="AI17" i="10" s="1"/>
  <c r="AQ17" i="10"/>
  <c r="AH29" i="10"/>
  <c r="AI29" i="10" s="1"/>
  <c r="AQ29" i="10"/>
  <c r="AG30" i="10"/>
  <c r="AQ30" i="10"/>
  <c r="AG16" i="10"/>
  <c r="AQ16" i="10"/>
  <c r="AJ90" i="10"/>
  <c r="AS90" i="10" s="1"/>
  <c r="AJ64" i="10"/>
  <c r="AS64" i="10" s="1"/>
  <c r="AJ115" i="10"/>
  <c r="AS115" i="10" s="1"/>
  <c r="AJ81" i="10"/>
  <c r="AS81" i="10" s="1"/>
  <c r="AH126" i="10"/>
  <c r="AI126" i="10" s="1"/>
  <c r="AQ126" i="10"/>
  <c r="AH133" i="10"/>
  <c r="AI133" i="10" s="1"/>
  <c r="AQ133" i="10"/>
  <c r="AG60" i="10"/>
  <c r="AQ60" i="10"/>
  <c r="AG161" i="10"/>
  <c r="AQ161" i="10"/>
  <c r="AG187" i="10"/>
  <c r="AQ187" i="10"/>
  <c r="AH135" i="10"/>
  <c r="AI135" i="10" s="1"/>
  <c r="AQ135" i="10"/>
  <c r="AG153" i="10"/>
  <c r="AQ153" i="10"/>
  <c r="AH165" i="10"/>
  <c r="AI165" i="10" s="1"/>
  <c r="AQ165" i="10"/>
  <c r="AG171" i="10"/>
  <c r="AQ171" i="10"/>
  <c r="AH138" i="10"/>
  <c r="AI138" i="10" s="1"/>
  <c r="AQ138" i="10"/>
  <c r="AH174" i="10"/>
  <c r="AI174" i="10" s="1"/>
  <c r="AQ174" i="10"/>
  <c r="AH167" i="10"/>
  <c r="AI167" i="10" s="1"/>
  <c r="AQ167" i="10"/>
  <c r="AG139" i="10"/>
  <c r="AQ139" i="10"/>
  <c r="AG141" i="10"/>
  <c r="AQ141" i="10"/>
  <c r="AT141" i="10" s="1"/>
  <c r="AG68" i="10"/>
  <c r="AQ68" i="10"/>
  <c r="AT68" i="10" s="1"/>
  <c r="AG94" i="10"/>
  <c r="AQ94" i="10"/>
  <c r="AH113" i="10"/>
  <c r="AI113" i="10" s="1"/>
  <c r="AQ113" i="10"/>
  <c r="AH98" i="10"/>
  <c r="AI98" i="10" s="1"/>
  <c r="AQ98" i="10"/>
  <c r="AG23" i="10"/>
  <c r="AQ23" i="10"/>
  <c r="AG119" i="10"/>
  <c r="AQ119" i="10"/>
  <c r="AG63" i="10"/>
  <c r="AQ63" i="10"/>
  <c r="AG89" i="10"/>
  <c r="AQ89" i="10"/>
  <c r="AG24" i="10"/>
  <c r="AQ24" i="10"/>
  <c r="AH53" i="10"/>
  <c r="AI53" i="10" s="1"/>
  <c r="AQ53" i="10"/>
  <c r="AH46" i="10"/>
  <c r="AI46" i="10" s="1"/>
  <c r="AQ46" i="10"/>
  <c r="AH21" i="10"/>
  <c r="AI21" i="10" s="1"/>
  <c r="AQ21" i="10"/>
  <c r="AG22" i="10"/>
  <c r="AQ22" i="10"/>
  <c r="AH27" i="10"/>
  <c r="AI27" i="10" s="1"/>
  <c r="AQ27" i="10"/>
  <c r="AH33" i="10"/>
  <c r="AI33" i="10" s="1"/>
  <c r="AQ33" i="10"/>
  <c r="AH45" i="10"/>
  <c r="AI45" i="10" s="1"/>
  <c r="AQ45" i="10"/>
  <c r="AG34" i="10"/>
  <c r="AQ34" i="10"/>
  <c r="AH52" i="10"/>
  <c r="AI52" i="10" s="1"/>
  <c r="AQ52" i="10"/>
  <c r="AH49" i="10"/>
  <c r="AI49" i="10" s="1"/>
  <c r="AQ49" i="10"/>
  <c r="AJ185" i="10"/>
  <c r="AS185" i="10" s="1"/>
  <c r="AJ121" i="10"/>
  <c r="AS121" i="10" s="1"/>
  <c r="AJ61" i="10"/>
  <c r="AS61" i="10" s="1"/>
  <c r="AJ176" i="10"/>
  <c r="AS176" i="10" s="1"/>
  <c r="AJ160" i="10"/>
  <c r="AS160" i="10" s="1"/>
  <c r="AJ188" i="10"/>
  <c r="AS188" i="10" s="1"/>
  <c r="AJ100" i="10"/>
  <c r="AS100" i="10" s="1"/>
  <c r="AJ95" i="10"/>
  <c r="AS95" i="10" s="1"/>
  <c r="AJ155" i="10"/>
  <c r="AS155" i="10" s="1"/>
  <c r="AJ59" i="10"/>
  <c r="AS59" i="10" s="1"/>
  <c r="AJ172" i="10"/>
  <c r="AS172" i="10" s="1"/>
  <c r="AJ184" i="10"/>
  <c r="AS184" i="10" s="1"/>
  <c r="AG91" i="10"/>
  <c r="AQ91" i="10"/>
  <c r="AH170" i="10"/>
  <c r="AI170" i="10" s="1"/>
  <c r="AQ170" i="10"/>
  <c r="AH122" i="10"/>
  <c r="AI122" i="10" s="1"/>
  <c r="AQ122" i="10"/>
  <c r="AH173" i="10"/>
  <c r="AI173" i="10" s="1"/>
  <c r="AQ173" i="10"/>
  <c r="AH144" i="10"/>
  <c r="AI144" i="10" s="1"/>
  <c r="AQ144" i="10"/>
  <c r="AG194" i="10"/>
  <c r="AQ194" i="10"/>
  <c r="AG147" i="10"/>
  <c r="AQ147" i="10"/>
  <c r="AH180" i="10"/>
  <c r="AI180" i="10" s="1"/>
  <c r="AQ180" i="10"/>
  <c r="AG149" i="10"/>
  <c r="AQ149" i="10"/>
  <c r="AH95" i="10"/>
  <c r="AI95" i="10" s="1"/>
  <c r="AQ95" i="10"/>
  <c r="AH154" i="10"/>
  <c r="AI154" i="10" s="1"/>
  <c r="AQ154" i="10"/>
  <c r="AH140" i="10"/>
  <c r="AI140" i="10" s="1"/>
  <c r="AQ140" i="10"/>
  <c r="AH130" i="10"/>
  <c r="AI130" i="10" s="1"/>
  <c r="AQ130" i="10"/>
  <c r="AH81" i="10"/>
  <c r="AI81" i="10" s="1"/>
  <c r="AQ81" i="10"/>
  <c r="AH118" i="10"/>
  <c r="AI118" i="10" s="1"/>
  <c r="AQ118" i="10"/>
  <c r="AH179" i="10"/>
  <c r="AI179" i="10" s="1"/>
  <c r="AQ179" i="10"/>
  <c r="AG70" i="10"/>
  <c r="AQ70" i="10"/>
  <c r="AJ15" i="10"/>
  <c r="AS15" i="10" s="1"/>
  <c r="AJ4" i="10"/>
  <c r="AS4" i="10" s="1"/>
  <c r="AJ51" i="10"/>
  <c r="AS51" i="10" s="1"/>
  <c r="AJ5" i="10"/>
  <c r="AS5" i="10" s="1"/>
  <c r="AG28" i="10"/>
  <c r="AQ28" i="10"/>
  <c r="AH8" i="10"/>
  <c r="AI8" i="10" s="1"/>
  <c r="AQ8" i="10"/>
  <c r="AH6" i="10"/>
  <c r="AI6" i="10" s="1"/>
  <c r="AQ6" i="10"/>
  <c r="AH38" i="10"/>
  <c r="AI38" i="10" s="1"/>
  <c r="AQ38" i="10"/>
  <c r="AH39" i="10"/>
  <c r="AI39" i="10" s="1"/>
  <c r="AQ39" i="10"/>
  <c r="AH3" i="10"/>
  <c r="AI3" i="10" s="1"/>
  <c r="AQ3" i="10"/>
  <c r="AG18" i="10"/>
  <c r="AQ18" i="10"/>
  <c r="AG13" i="10"/>
  <c r="AQ13" i="10"/>
  <c r="AG25" i="10"/>
  <c r="AQ25" i="10"/>
  <c r="AG48" i="10"/>
  <c r="AQ48" i="10"/>
  <c r="AG19" i="10"/>
  <c r="AQ19" i="10"/>
  <c r="AJ196" i="10"/>
  <c r="AS196" i="10" s="1"/>
  <c r="AJ96" i="10"/>
  <c r="AS96" i="10" s="1"/>
  <c r="AJ120" i="10"/>
  <c r="AS120" i="10" s="1"/>
  <c r="AJ83" i="10"/>
  <c r="AS83" i="10" s="1"/>
  <c r="AJ93" i="10"/>
  <c r="AS93" i="10" s="1"/>
  <c r="AJ193" i="10"/>
  <c r="AS193" i="10" s="1"/>
  <c r="AJ200" i="10"/>
  <c r="AS200" i="10" s="1"/>
  <c r="AJ124" i="10"/>
  <c r="AS124" i="10" s="1"/>
  <c r="AJ143" i="10"/>
  <c r="AS143" i="10" s="1"/>
  <c r="AJ129" i="10"/>
  <c r="AS129" i="10" s="1"/>
  <c r="AG58" i="10"/>
  <c r="AQ58" i="10"/>
  <c r="AH163" i="10"/>
  <c r="AI163" i="10" s="1"/>
  <c r="AQ163" i="10"/>
  <c r="AG104" i="10"/>
  <c r="AQ104" i="10"/>
  <c r="AT104" i="10" s="1"/>
  <c r="AG80" i="10"/>
  <c r="AQ80" i="10"/>
  <c r="AH184" i="10"/>
  <c r="AI184" i="10" s="1"/>
  <c r="AQ184" i="10"/>
  <c r="AH117" i="10"/>
  <c r="AI117" i="10" s="1"/>
  <c r="AQ117" i="10"/>
  <c r="AH125" i="10"/>
  <c r="AI125" i="10" s="1"/>
  <c r="AQ125" i="10"/>
  <c r="AG168" i="10"/>
  <c r="AQ168" i="10"/>
  <c r="AG69" i="10"/>
  <c r="AQ69" i="10"/>
  <c r="AT69" i="10" s="1"/>
  <c r="AH201" i="10"/>
  <c r="AI201" i="10" s="1"/>
  <c r="AQ201" i="10"/>
  <c r="AG76" i="10"/>
  <c r="AQ76" i="10"/>
  <c r="AH136" i="10"/>
  <c r="AI136" i="10" s="1"/>
  <c r="AQ136" i="10"/>
  <c r="AH166" i="10"/>
  <c r="AI166" i="10" s="1"/>
  <c r="AQ166" i="10"/>
  <c r="AH177" i="10"/>
  <c r="AI177" i="10" s="1"/>
  <c r="AQ177" i="10"/>
  <c r="AG78" i="10"/>
  <c r="AQ78" i="10"/>
  <c r="AG66" i="10"/>
  <c r="AQ66" i="10"/>
  <c r="AG72" i="10"/>
  <c r="AQ72" i="10"/>
  <c r="AT72" i="10" s="1"/>
  <c r="AG131" i="10"/>
  <c r="AQ131" i="10"/>
  <c r="AT131" i="10" s="1"/>
  <c r="AG47" i="10"/>
  <c r="AQ47" i="10"/>
  <c r="AG31" i="10"/>
  <c r="AQ31" i="10"/>
  <c r="AG41" i="10"/>
  <c r="AQ41" i="10"/>
  <c r="AG42" i="10"/>
  <c r="AQ42" i="10"/>
  <c r="AG10" i="10"/>
  <c r="AQ10" i="10"/>
  <c r="AG26" i="10"/>
  <c r="AQ26" i="10"/>
  <c r="AH37" i="10"/>
  <c r="AI37" i="10" s="1"/>
  <c r="AQ37" i="10"/>
  <c r="AG40" i="10"/>
  <c r="AQ40" i="10"/>
  <c r="AH35" i="10"/>
  <c r="AI35" i="10" s="1"/>
  <c r="AQ35" i="10"/>
  <c r="AH12" i="10"/>
  <c r="AI12" i="10" s="1"/>
  <c r="AQ12" i="10"/>
  <c r="AG56" i="10"/>
  <c r="AQ56" i="10"/>
  <c r="AG14" i="10"/>
  <c r="AQ14" i="10"/>
  <c r="AJ99" i="10"/>
  <c r="AS99" i="10" s="1"/>
  <c r="AJ87" i="10"/>
  <c r="AS87" i="10" s="1"/>
  <c r="AJ109" i="10"/>
  <c r="AS109" i="10" s="1"/>
  <c r="AJ151" i="10"/>
  <c r="AS151" i="10" s="1"/>
  <c r="AJ102" i="10"/>
  <c r="AS102" i="10" s="1"/>
  <c r="AG97" i="10"/>
  <c r="AQ97" i="10"/>
  <c r="AG62" i="10"/>
  <c r="AQ62" i="10"/>
  <c r="AH124" i="10"/>
  <c r="AI124" i="10" s="1"/>
  <c r="AQ124" i="10"/>
  <c r="AG157" i="10"/>
  <c r="AQ157" i="10"/>
  <c r="AG77" i="10"/>
  <c r="AQ77" i="10"/>
  <c r="AH137" i="10"/>
  <c r="AI137" i="10" s="1"/>
  <c r="AQ137" i="10"/>
  <c r="AG195" i="10"/>
  <c r="AQ195" i="10"/>
  <c r="AT195" i="10" s="1"/>
  <c r="AG106" i="10"/>
  <c r="AQ106" i="10"/>
  <c r="AT106" i="10" s="1"/>
  <c r="AG183" i="10"/>
  <c r="AQ183" i="10"/>
  <c r="AT183" i="10" s="1"/>
  <c r="AG105" i="10"/>
  <c r="AQ105" i="10"/>
  <c r="AT105" i="10" s="1"/>
  <c r="AG82" i="10"/>
  <c r="AQ82" i="10"/>
  <c r="AT82" i="10" s="1"/>
  <c r="AH160" i="10"/>
  <c r="AI160" i="10" s="1"/>
  <c r="AQ160" i="10"/>
  <c r="AG88" i="10"/>
  <c r="AQ88" i="10"/>
  <c r="AT88" i="10" s="1"/>
  <c r="AH9" i="10"/>
  <c r="AI9" i="10" s="1"/>
  <c r="AQ9" i="10"/>
  <c r="AG103" i="10"/>
  <c r="AQ103" i="10"/>
  <c r="AT103" i="10" s="1"/>
  <c r="AG150" i="10"/>
  <c r="AQ150" i="10"/>
  <c r="AT150" i="10" s="1"/>
  <c r="AG11" i="10"/>
  <c r="AQ11" i="10"/>
  <c r="AT11" i="10" s="1"/>
  <c r="AJ20" i="10"/>
  <c r="AS20" i="10" s="1"/>
  <c r="AG138" i="10"/>
  <c r="AG192" i="10"/>
  <c r="AH23" i="10"/>
  <c r="AI23" i="10" s="1"/>
  <c r="AH132" i="10"/>
  <c r="AI132" i="10" s="1"/>
  <c r="AT132" i="10" s="1"/>
  <c r="AH192" i="10"/>
  <c r="AI192" i="10" s="1"/>
  <c r="AT192" i="10" s="1"/>
  <c r="AH94" i="10"/>
  <c r="AI94" i="10" s="1"/>
  <c r="AG182" i="10"/>
  <c r="AG98" i="10"/>
  <c r="AH139" i="10"/>
  <c r="AI139" i="10" s="1"/>
  <c r="AH70" i="10"/>
  <c r="AI70" i="10" s="1"/>
  <c r="AG132" i="10"/>
  <c r="AH162" i="10"/>
  <c r="AI162" i="10" s="1"/>
  <c r="AT162" i="10" s="1"/>
  <c r="AG135" i="10"/>
  <c r="AG107" i="10"/>
  <c r="AG111" i="10"/>
  <c r="AG146" i="10"/>
  <c r="AG179" i="10"/>
  <c r="AG113" i="10"/>
  <c r="AG174" i="10"/>
  <c r="AH63" i="10"/>
  <c r="AI63" i="10" s="1"/>
  <c r="AH60" i="10"/>
  <c r="AI60" i="10" s="1"/>
  <c r="AH89" i="10"/>
  <c r="AI89" i="10" s="1"/>
  <c r="AH119" i="10"/>
  <c r="AI119" i="10" s="1"/>
  <c r="AH147" i="10"/>
  <c r="AI147" i="10" s="1"/>
  <c r="AG118" i="10"/>
  <c r="AG167" i="10"/>
  <c r="AH194" i="10"/>
  <c r="AI194" i="10" s="1"/>
  <c r="AH171" i="10"/>
  <c r="AI171" i="10" s="1"/>
  <c r="AG133" i="10"/>
  <c r="AH187" i="10"/>
  <c r="AI187" i="10" s="1"/>
  <c r="AH47" i="10"/>
  <c r="AI47" i="10" s="1"/>
  <c r="AH80" i="10"/>
  <c r="AI80" i="10" s="1"/>
  <c r="AH66" i="10"/>
  <c r="AI66" i="10" s="1"/>
  <c r="AH168" i="10"/>
  <c r="AI168" i="10" s="1"/>
  <c r="AG163" i="10"/>
  <c r="AG9" i="10"/>
  <c r="AH62" i="10"/>
  <c r="AI62" i="10" s="1"/>
  <c r="AG125" i="10"/>
  <c r="AH76" i="10"/>
  <c r="AI76" i="10" s="1"/>
  <c r="AG166" i="10"/>
  <c r="AH157" i="10"/>
  <c r="AI157" i="10" s="1"/>
  <c r="AH34" i="10"/>
  <c r="AI34" i="10" s="1"/>
  <c r="AG49" i="10"/>
  <c r="AG117" i="10"/>
  <c r="AH153" i="10"/>
  <c r="AI153" i="10" s="1"/>
  <c r="AG165" i="10"/>
  <c r="AH97" i="10"/>
  <c r="AI97" i="10" s="1"/>
  <c r="AH161" i="10"/>
  <c r="AI161" i="10" s="1"/>
  <c r="AG126" i="10"/>
  <c r="AG122" i="10"/>
  <c r="AG180" i="10"/>
  <c r="AG154" i="10"/>
  <c r="AG136" i="10"/>
  <c r="AG177" i="10"/>
  <c r="AG201" i="10"/>
  <c r="AH78" i="10"/>
  <c r="AI78" i="10" s="1"/>
  <c r="AH58" i="10"/>
  <c r="AI58" i="10" s="1"/>
  <c r="AG170" i="10"/>
  <c r="AG144" i="10"/>
  <c r="AH149" i="10"/>
  <c r="AI149" i="10" s="1"/>
  <c r="AG140" i="10"/>
  <c r="AG130" i="10"/>
  <c r="AH91" i="10"/>
  <c r="AI91" i="10" s="1"/>
  <c r="AQ2" i="10"/>
  <c r="AG173" i="10"/>
  <c r="AH77" i="10"/>
  <c r="AI77" i="10" s="1"/>
  <c r="AG137" i="10"/>
  <c r="AH128" i="10"/>
  <c r="AI128" i="10" s="1"/>
  <c r="AT128" i="10" s="1"/>
  <c r="AG128" i="10"/>
  <c r="AH148" i="10"/>
  <c r="AI148" i="10" s="1"/>
  <c r="AT148" i="10" s="1"/>
  <c r="AG148" i="10"/>
  <c r="AG110" i="10"/>
  <c r="AH110" i="10"/>
  <c r="AI110" i="10" s="1"/>
  <c r="AT110" i="10" s="1"/>
  <c r="AG181" i="10"/>
  <c r="AH181" i="10"/>
  <c r="AI181" i="10" s="1"/>
  <c r="AT181" i="10" s="1"/>
  <c r="AH112" i="10"/>
  <c r="AI112" i="10" s="1"/>
  <c r="AT112" i="10" s="1"/>
  <c r="AG112" i="10"/>
  <c r="AH202" i="10"/>
  <c r="AI202" i="10" s="1"/>
  <c r="AT202" i="10" s="1"/>
  <c r="AG202" i="10"/>
  <c r="AH108" i="10"/>
  <c r="AI108" i="10" s="1"/>
  <c r="AT108" i="10" s="1"/>
  <c r="AG108" i="10"/>
  <c r="AG178" i="10"/>
  <c r="AH178" i="10"/>
  <c r="AI178" i="10" s="1"/>
  <c r="AT178" i="10" s="1"/>
  <c r="AG142" i="10"/>
  <c r="AH142" i="10"/>
  <c r="AI142" i="10" s="1"/>
  <c r="AT142" i="10" s="1"/>
  <c r="AH164" i="10"/>
  <c r="AI164" i="10" s="1"/>
  <c r="AT164" i="10" s="1"/>
  <c r="AG164" i="10"/>
  <c r="AH114" i="10"/>
  <c r="AI114" i="10" s="1"/>
  <c r="AT114" i="10" s="1"/>
  <c r="AG114" i="10"/>
  <c r="AG158" i="10"/>
  <c r="AH158" i="10"/>
  <c r="AI158" i="10" s="1"/>
  <c r="AT158" i="10" s="1"/>
  <c r="AH116" i="10"/>
  <c r="AI116" i="10" s="1"/>
  <c r="AT116" i="10" s="1"/>
  <c r="AG116" i="10"/>
  <c r="AH92" i="10"/>
  <c r="AI92" i="10" s="1"/>
  <c r="AT92" i="10" s="1"/>
  <c r="AG92" i="10"/>
  <c r="AG199" i="10"/>
  <c r="AH199" i="10"/>
  <c r="AI199" i="10" s="1"/>
  <c r="AT199" i="10" s="1"/>
  <c r="AG67" i="10"/>
  <c r="AH67" i="10"/>
  <c r="AI67" i="10" s="1"/>
  <c r="AT67" i="10" s="1"/>
  <c r="AH186" i="10"/>
  <c r="AI186" i="10" s="1"/>
  <c r="AT186" i="10" s="1"/>
  <c r="AG186" i="10"/>
  <c r="AH152" i="10"/>
  <c r="AI152" i="10" s="1"/>
  <c r="AT152" i="10" s="1"/>
  <c r="AG152" i="10"/>
  <c r="AH189" i="10"/>
  <c r="AI189" i="10" s="1"/>
  <c r="AT189" i="10" s="1"/>
  <c r="AG189" i="10"/>
  <c r="AH156" i="10"/>
  <c r="AI156" i="10" s="1"/>
  <c r="AT156" i="10" s="1"/>
  <c r="AG156" i="10"/>
  <c r="AH74" i="10"/>
  <c r="AI74" i="10" s="1"/>
  <c r="AT74" i="10" s="1"/>
  <c r="AG74" i="10"/>
  <c r="AH14" i="10"/>
  <c r="AI14" i="10" s="1"/>
  <c r="AH19" i="10"/>
  <c r="AI19" i="10" s="1"/>
  <c r="AH16" i="10"/>
  <c r="AI16" i="10" s="1"/>
  <c r="AG38" i="10"/>
  <c r="AG17" i="10"/>
  <c r="AH32" i="10"/>
  <c r="AI32" i="10" s="1"/>
  <c r="AH30" i="10"/>
  <c r="AI30" i="10" s="1"/>
  <c r="AH50" i="10"/>
  <c r="AI50" i="10" s="1"/>
  <c r="AH25" i="10"/>
  <c r="AI25" i="10" s="1"/>
  <c r="AH18" i="10"/>
  <c r="AI18" i="10" s="1"/>
  <c r="AG33" i="10"/>
  <c r="AG52" i="10"/>
  <c r="AG45" i="10"/>
  <c r="AH13" i="10"/>
  <c r="AI13" i="10" s="1"/>
  <c r="AG6" i="10"/>
  <c r="AH48" i="10"/>
  <c r="AI48" i="10" s="1"/>
  <c r="AG53" i="10"/>
  <c r="AG3" i="10"/>
  <c r="AG12" i="10"/>
  <c r="AG37" i="10"/>
  <c r="AG35" i="10"/>
  <c r="AG29" i="10"/>
  <c r="AH56" i="10"/>
  <c r="AI56" i="10" s="1"/>
  <c r="AH22" i="10"/>
  <c r="AI22" i="10" s="1"/>
  <c r="AH10" i="10"/>
  <c r="AI10" i="10" s="1"/>
  <c r="AG8" i="10"/>
  <c r="AH40" i="10"/>
  <c r="AI40" i="10" s="1"/>
  <c r="AH36" i="10"/>
  <c r="AI36" i="10" s="1"/>
  <c r="AG27" i="10"/>
  <c r="AH55" i="10"/>
  <c r="AI55" i="10" s="1"/>
  <c r="AH41" i="10"/>
  <c r="AI41" i="10" s="1"/>
  <c r="AG44" i="10"/>
  <c r="AG39" i="10"/>
  <c r="AH42" i="10"/>
  <c r="AI42" i="10" s="1"/>
  <c r="AH26" i="10"/>
  <c r="AI26" i="10" s="1"/>
  <c r="AG7" i="10"/>
  <c r="AG21" i="10"/>
  <c r="AH31" i="10"/>
  <c r="AI31" i="10" s="1"/>
  <c r="AG46" i="10"/>
  <c r="AH28" i="10"/>
  <c r="AI28" i="10" s="1"/>
  <c r="AH24" i="10"/>
  <c r="AI24" i="10" s="1"/>
  <c r="AJ127" i="10" l="1"/>
  <c r="AS127" i="10" s="1"/>
  <c r="B2" i="10"/>
  <c r="B6" i="10" s="1"/>
  <c r="B7" i="10" s="1"/>
  <c r="AT149" i="10"/>
  <c r="AT147" i="10"/>
  <c r="AT16" i="10"/>
  <c r="AT9" i="10"/>
  <c r="AT160" i="10"/>
  <c r="AT137" i="10"/>
  <c r="AT63" i="10"/>
  <c r="AT171" i="10"/>
  <c r="AT37" i="10"/>
  <c r="AT184" i="10"/>
  <c r="AT35" i="10"/>
  <c r="AT166" i="10"/>
  <c r="AT125" i="10"/>
  <c r="AT13" i="10"/>
  <c r="AT3" i="10"/>
  <c r="AT38" i="10"/>
  <c r="AT8" i="10"/>
  <c r="AT118" i="10"/>
  <c r="AT130" i="10"/>
  <c r="AT154" i="10"/>
  <c r="AT144" i="10"/>
  <c r="AT122" i="10"/>
  <c r="AT91" i="10"/>
  <c r="AT49" i="10"/>
  <c r="AT33" i="10"/>
  <c r="AT46" i="10"/>
  <c r="AT23" i="10"/>
  <c r="AT113" i="10"/>
  <c r="AT174" i="10"/>
  <c r="AT126" i="10"/>
  <c r="AT29" i="10"/>
  <c r="AT32" i="10"/>
  <c r="AT55" i="10"/>
  <c r="AT40" i="10"/>
  <c r="AT26" i="10"/>
  <c r="AT80" i="10"/>
  <c r="AT24" i="10"/>
  <c r="AT187" i="10"/>
  <c r="AT42" i="10"/>
  <c r="AT70" i="10"/>
  <c r="AT34" i="10"/>
  <c r="AT31" i="10"/>
  <c r="AT62" i="10"/>
  <c r="AT153" i="10"/>
  <c r="AT14" i="10"/>
  <c r="AT177" i="10"/>
  <c r="AT136" i="10"/>
  <c r="AT117" i="10"/>
  <c r="AT163" i="10"/>
  <c r="AT77" i="10"/>
  <c r="AT124" i="10"/>
  <c r="AT97" i="10"/>
  <c r="AT19" i="10"/>
  <c r="AT25" i="10"/>
  <c r="AT18" i="10"/>
  <c r="AT39" i="10"/>
  <c r="AT6" i="10"/>
  <c r="AT28" i="10"/>
  <c r="AT179" i="10"/>
  <c r="AT81" i="10"/>
  <c r="AT140" i="10"/>
  <c r="AT95" i="10"/>
  <c r="AT180" i="10"/>
  <c r="AT194" i="10"/>
  <c r="AT173" i="10"/>
  <c r="AT170" i="10"/>
  <c r="AT52" i="10"/>
  <c r="AT45" i="10"/>
  <c r="AT27" i="10"/>
  <c r="AT21" i="10"/>
  <c r="AT53" i="10"/>
  <c r="AT89" i="10"/>
  <c r="AT119" i="10"/>
  <c r="AT98" i="10"/>
  <c r="AT94" i="10"/>
  <c r="AT167" i="10"/>
  <c r="AT138" i="10"/>
  <c r="AT165" i="10"/>
  <c r="AT135" i="10"/>
  <c r="AT161" i="10"/>
  <c r="AT133" i="10"/>
  <c r="AT30" i="10"/>
  <c r="AT17" i="10"/>
  <c r="AT50" i="10"/>
  <c r="AT44" i="10"/>
  <c r="AT7" i="10"/>
  <c r="AT157" i="10"/>
  <c r="AT48" i="10"/>
  <c r="AT22" i="10"/>
  <c r="AT139" i="10"/>
  <c r="AT60" i="10"/>
  <c r="AT36" i="10"/>
  <c r="AT12" i="10"/>
  <c r="AT66" i="10"/>
  <c r="AT201" i="10"/>
  <c r="AT168" i="10"/>
  <c r="AT2" i="10"/>
  <c r="AT56" i="10"/>
  <c r="AT10" i="10"/>
  <c r="AT41" i="10"/>
  <c r="AT47" i="10"/>
  <c r="AT78" i="10"/>
  <c r="AT76" i="10"/>
  <c r="AT58" i="10"/>
  <c r="AJ162" i="10"/>
  <c r="AS162" i="10" s="1"/>
  <c r="AJ197" i="10"/>
  <c r="AS197" i="10" s="1"/>
  <c r="AJ101" i="10"/>
  <c r="AS101" i="10" s="1"/>
  <c r="AJ39" i="10"/>
  <c r="AS39" i="10" s="1"/>
  <c r="AJ53" i="10"/>
  <c r="AS53" i="10" s="1"/>
  <c r="AJ67" i="10"/>
  <c r="AS67" i="10" s="1"/>
  <c r="AJ178" i="10"/>
  <c r="AS178" i="10" s="1"/>
  <c r="AJ181" i="10"/>
  <c r="AS181" i="10" s="1"/>
  <c r="AJ170" i="10"/>
  <c r="AS170" i="10" s="1"/>
  <c r="AJ122" i="10"/>
  <c r="AS122" i="10" s="1"/>
  <c r="AJ167" i="10"/>
  <c r="AS167" i="10" s="1"/>
  <c r="AJ113" i="10"/>
  <c r="AS113" i="10" s="1"/>
  <c r="AJ107" i="10"/>
  <c r="AS107" i="10" s="1"/>
  <c r="AJ29" i="10"/>
  <c r="AS29" i="10" s="1"/>
  <c r="AJ156" i="10"/>
  <c r="AS156" i="10" s="1"/>
  <c r="AJ92" i="10"/>
  <c r="AS92" i="10" s="1"/>
  <c r="AJ164" i="10"/>
  <c r="AS164" i="10" s="1"/>
  <c r="AJ202" i="10"/>
  <c r="AS202" i="10" s="1"/>
  <c r="AJ148" i="10"/>
  <c r="AS148" i="10" s="1"/>
  <c r="AJ201" i="10"/>
  <c r="AS201" i="10" s="1"/>
  <c r="AJ163" i="10"/>
  <c r="AS163" i="10" s="1"/>
  <c r="AJ174" i="10"/>
  <c r="AS174" i="10" s="1"/>
  <c r="AJ132" i="10"/>
  <c r="AS132" i="10" s="1"/>
  <c r="AJ105" i="10"/>
  <c r="AS105" i="10" s="1"/>
  <c r="AJ62" i="10"/>
  <c r="AS62" i="10" s="1"/>
  <c r="AJ56" i="10"/>
  <c r="AS56" i="10" s="1"/>
  <c r="AJ41" i="10"/>
  <c r="AS41" i="10" s="1"/>
  <c r="AJ72" i="10"/>
  <c r="AS72" i="10" s="1"/>
  <c r="AJ69" i="10"/>
  <c r="AS69" i="10" s="1"/>
  <c r="AJ104" i="10"/>
  <c r="AS104" i="10" s="1"/>
  <c r="AJ48" i="10"/>
  <c r="AS48" i="10" s="1"/>
  <c r="AJ70" i="10"/>
  <c r="AS70" i="10" s="1"/>
  <c r="AJ149" i="10"/>
  <c r="AS149" i="10" s="1"/>
  <c r="AJ147" i="10"/>
  <c r="AS147" i="10" s="1"/>
  <c r="AJ89" i="10"/>
  <c r="AS89" i="10" s="1"/>
  <c r="AJ141" i="10"/>
  <c r="AS141" i="10" s="1"/>
  <c r="AJ16" i="10"/>
  <c r="AS16" i="10" s="1"/>
  <c r="AJ36" i="10"/>
  <c r="AS36" i="10" s="1"/>
  <c r="AJ46" i="10"/>
  <c r="AS46" i="10" s="1"/>
  <c r="AJ6" i="10"/>
  <c r="AS6" i="10" s="1"/>
  <c r="AJ7" i="10"/>
  <c r="AS7" i="10" s="1"/>
  <c r="AJ44" i="10"/>
  <c r="AS44" i="10" s="1"/>
  <c r="AJ37" i="10"/>
  <c r="AS37" i="10" s="1"/>
  <c r="AJ52" i="10"/>
  <c r="AS52" i="10" s="1"/>
  <c r="AJ38" i="10"/>
  <c r="AS38" i="10" s="1"/>
  <c r="AJ74" i="10"/>
  <c r="AS74" i="10" s="1"/>
  <c r="AJ189" i="10"/>
  <c r="AS189" i="10" s="1"/>
  <c r="AJ186" i="10"/>
  <c r="AS186" i="10" s="1"/>
  <c r="AJ116" i="10"/>
  <c r="AS116" i="10" s="1"/>
  <c r="AJ114" i="10"/>
  <c r="AS114" i="10" s="1"/>
  <c r="AJ108" i="10"/>
  <c r="AS108" i="10" s="1"/>
  <c r="AJ112" i="10"/>
  <c r="AS112" i="10" s="1"/>
  <c r="AJ128" i="10"/>
  <c r="AS128" i="10" s="1"/>
  <c r="AJ173" i="10"/>
  <c r="AS173" i="10" s="1"/>
  <c r="AJ140" i="10"/>
  <c r="AS140" i="10" s="1"/>
  <c r="AJ136" i="10"/>
  <c r="AS136" i="10" s="1"/>
  <c r="AJ126" i="10"/>
  <c r="AS126" i="10" s="1"/>
  <c r="AJ133" i="10"/>
  <c r="AS133" i="10" s="1"/>
  <c r="AJ118" i="10"/>
  <c r="AS118" i="10" s="1"/>
  <c r="AJ179" i="10"/>
  <c r="AS179" i="10" s="1"/>
  <c r="AJ135" i="10"/>
  <c r="AS135" i="10" s="1"/>
  <c r="AJ138" i="10"/>
  <c r="AS138" i="10" s="1"/>
  <c r="AJ11" i="10"/>
  <c r="AS11" i="10" s="1"/>
  <c r="AJ103" i="10"/>
  <c r="AS103" i="10" s="1"/>
  <c r="AJ88" i="10"/>
  <c r="AS88" i="10" s="1"/>
  <c r="AJ82" i="10"/>
  <c r="AS82" i="10" s="1"/>
  <c r="AJ183" i="10"/>
  <c r="AS183" i="10" s="1"/>
  <c r="AJ195" i="10"/>
  <c r="AS195" i="10" s="1"/>
  <c r="AJ77" i="10"/>
  <c r="AS77" i="10" s="1"/>
  <c r="AJ97" i="10"/>
  <c r="AS97" i="10" s="1"/>
  <c r="AJ14" i="10"/>
  <c r="AS14" i="10" s="1"/>
  <c r="AJ40" i="10"/>
  <c r="AS40" i="10" s="1"/>
  <c r="AJ26" i="10"/>
  <c r="AS26" i="10" s="1"/>
  <c r="AJ42" i="10"/>
  <c r="AS42" i="10" s="1"/>
  <c r="AJ31" i="10"/>
  <c r="AS31" i="10" s="1"/>
  <c r="AJ131" i="10"/>
  <c r="AS131" i="10" s="1"/>
  <c r="AJ66" i="10"/>
  <c r="AS66" i="10" s="1"/>
  <c r="AJ168" i="10"/>
  <c r="AS168" i="10" s="1"/>
  <c r="AJ80" i="10"/>
  <c r="AS80" i="10" s="1"/>
  <c r="AJ19" i="10"/>
  <c r="AS19" i="10" s="1"/>
  <c r="AJ25" i="10"/>
  <c r="AS25" i="10" s="1"/>
  <c r="AJ18" i="10"/>
  <c r="AS18" i="10" s="1"/>
  <c r="AJ28" i="10"/>
  <c r="AS28" i="10" s="1"/>
  <c r="AJ194" i="10"/>
  <c r="AS194" i="10" s="1"/>
  <c r="AJ34" i="10"/>
  <c r="AS34" i="10" s="1"/>
  <c r="AJ22" i="10"/>
  <c r="AS22" i="10" s="1"/>
  <c r="AJ24" i="10"/>
  <c r="AS24" i="10" s="1"/>
  <c r="AJ63" i="10"/>
  <c r="AS63" i="10" s="1"/>
  <c r="AJ23" i="10"/>
  <c r="AS23" i="10" s="1"/>
  <c r="AJ68" i="10"/>
  <c r="AS68" i="10" s="1"/>
  <c r="AJ139" i="10"/>
  <c r="AS139" i="10" s="1"/>
  <c r="AJ171" i="10"/>
  <c r="AS171" i="10" s="1"/>
  <c r="AJ153" i="10"/>
  <c r="AS153" i="10" s="1"/>
  <c r="AJ187" i="10"/>
  <c r="AS187" i="10" s="1"/>
  <c r="AJ60" i="10"/>
  <c r="AS60" i="10" s="1"/>
  <c r="AJ30" i="10"/>
  <c r="AS30" i="10" s="1"/>
  <c r="AJ50" i="10"/>
  <c r="AS50" i="10" s="1"/>
  <c r="AJ21" i="10"/>
  <c r="AS21" i="10" s="1"/>
  <c r="AJ27" i="10"/>
  <c r="AS27" i="10" s="1"/>
  <c r="AJ35" i="10"/>
  <c r="AS35" i="10" s="1"/>
  <c r="AJ45" i="10"/>
  <c r="AS45" i="10" s="1"/>
  <c r="AJ17" i="10"/>
  <c r="AS17" i="10" s="1"/>
  <c r="AJ158" i="10"/>
  <c r="AS158" i="10" s="1"/>
  <c r="AJ130" i="10"/>
  <c r="AS130" i="10" s="1"/>
  <c r="AJ177" i="10"/>
  <c r="AS177" i="10" s="1"/>
  <c r="AJ165" i="10"/>
  <c r="AS165" i="10" s="1"/>
  <c r="AJ125" i="10"/>
  <c r="AS125" i="10" s="1"/>
  <c r="AJ192" i="10"/>
  <c r="AS192" i="10" s="1"/>
  <c r="AJ8" i="10"/>
  <c r="AS8" i="10" s="1"/>
  <c r="AJ3" i="10"/>
  <c r="AS3" i="10" s="1"/>
  <c r="AJ152" i="10"/>
  <c r="AS152" i="10" s="1"/>
  <c r="AJ137" i="10"/>
  <c r="AS137" i="10" s="1"/>
  <c r="AJ144" i="10"/>
  <c r="AS144" i="10" s="1"/>
  <c r="AJ180" i="10"/>
  <c r="AS180" i="10" s="1"/>
  <c r="AJ49" i="10"/>
  <c r="AS49" i="10" s="1"/>
  <c r="AJ111" i="10"/>
  <c r="AS111" i="10" s="1"/>
  <c r="AJ182" i="10"/>
  <c r="AS182" i="10" s="1"/>
  <c r="AJ150" i="10"/>
  <c r="AS150" i="10" s="1"/>
  <c r="AJ106" i="10"/>
  <c r="AS106" i="10" s="1"/>
  <c r="AJ157" i="10"/>
  <c r="AS157" i="10" s="1"/>
  <c r="AJ10" i="10"/>
  <c r="AS10" i="10" s="1"/>
  <c r="AJ47" i="10"/>
  <c r="AS47" i="10" s="1"/>
  <c r="AJ78" i="10"/>
  <c r="AS78" i="10" s="1"/>
  <c r="AJ76" i="10"/>
  <c r="AS76" i="10" s="1"/>
  <c r="AJ58" i="10"/>
  <c r="AS58" i="10" s="1"/>
  <c r="AJ13" i="10"/>
  <c r="AS13" i="10" s="1"/>
  <c r="AJ91" i="10"/>
  <c r="AS91" i="10" s="1"/>
  <c r="AJ119" i="10"/>
  <c r="AS119" i="10" s="1"/>
  <c r="AJ94" i="10"/>
  <c r="AS94" i="10" s="1"/>
  <c r="AJ161" i="10"/>
  <c r="AS161" i="10" s="1"/>
  <c r="AJ32" i="10"/>
  <c r="AS32" i="10" s="1"/>
  <c r="AJ55" i="10"/>
  <c r="AS55" i="10" s="1"/>
  <c r="AJ12" i="10"/>
  <c r="AS12" i="10" s="1"/>
  <c r="AJ33" i="10"/>
  <c r="AS33" i="10" s="1"/>
  <c r="AJ199" i="10"/>
  <c r="AS199" i="10" s="1"/>
  <c r="AJ142" i="10"/>
  <c r="AS142" i="10" s="1"/>
  <c r="AJ110" i="10"/>
  <c r="AS110" i="10" s="1"/>
  <c r="AJ154" i="10"/>
  <c r="AS154" i="10" s="1"/>
  <c r="AJ117" i="10"/>
  <c r="AS117" i="10" s="1"/>
  <c r="AJ166" i="10"/>
  <c r="AS166" i="10" s="1"/>
  <c r="AJ9" i="10"/>
  <c r="AS9" i="10" s="1"/>
  <c r="AJ146" i="10"/>
  <c r="AS146" i="10" s="1"/>
  <c r="AJ98" i="10"/>
  <c r="AS98" i="10" s="1"/>
</calcChain>
</file>

<file path=xl/comments1.xml><?xml version="1.0" encoding="utf-8"?>
<comments xmlns="http://schemas.openxmlformats.org/spreadsheetml/2006/main">
  <authors>
    <author>Author</author>
  </authors>
  <commentList>
    <comment ref="C3" authorId="0" shapeId="0">
      <text>
        <r>
          <rPr>
            <sz val="9"/>
            <color indexed="81"/>
            <rFont val="Tahoma"/>
            <family val="2"/>
          </rPr>
          <t>Nominal Input Voltage</t>
        </r>
      </text>
    </comment>
  </commentList>
</comments>
</file>

<file path=xl/sharedStrings.xml><?xml version="1.0" encoding="utf-8"?>
<sst xmlns="http://schemas.openxmlformats.org/spreadsheetml/2006/main" count="201" uniqueCount="135">
  <si>
    <t>Vin</t>
  </si>
  <si>
    <t>Vout</t>
  </si>
  <si>
    <t>Iout</t>
  </si>
  <si>
    <t>Lo</t>
  </si>
  <si>
    <t>Co</t>
  </si>
  <si>
    <t>Resr</t>
  </si>
  <si>
    <t>Sc</t>
  </si>
  <si>
    <t>D'</t>
  </si>
  <si>
    <t>Fsw</t>
  </si>
  <si>
    <t>Tsw</t>
  </si>
  <si>
    <t>wn</t>
  </si>
  <si>
    <t>Qp</t>
  </si>
  <si>
    <t>wz1</t>
  </si>
  <si>
    <t>wz2</t>
  </si>
  <si>
    <t>wp1</t>
  </si>
  <si>
    <t>M</t>
  </si>
  <si>
    <t>mc</t>
  </si>
  <si>
    <t>Sn</t>
  </si>
  <si>
    <t>Rout</t>
  </si>
  <si>
    <t>Vout(s)/Verr(s)</t>
  </si>
  <si>
    <t>s</t>
  </si>
  <si>
    <t>g1</t>
  </si>
  <si>
    <t>g2</t>
  </si>
  <si>
    <t>g3</t>
  </si>
  <si>
    <t>g4</t>
  </si>
  <si>
    <t>|Vout(s)/Verr(s)|</t>
  </si>
  <si>
    <t>ang</t>
  </si>
  <si>
    <t>f</t>
  </si>
  <si>
    <t>°</t>
  </si>
  <si>
    <t>db</t>
  </si>
  <si>
    <t>sa</t>
  </si>
  <si>
    <t>Design Parameters</t>
  </si>
  <si>
    <t>Min</t>
  </si>
  <si>
    <t>Nominal</t>
  </si>
  <si>
    <t>Max</t>
  </si>
  <si>
    <t>Dmax</t>
  </si>
  <si>
    <t>Units</t>
  </si>
  <si>
    <t>V</t>
  </si>
  <si>
    <t>A</t>
  </si>
  <si>
    <t>%</t>
  </si>
  <si>
    <t>Vdrv</t>
  </si>
  <si>
    <t>Which Resistor Would you Like to Select?</t>
  </si>
  <si>
    <t>Ideal Vout</t>
  </si>
  <si>
    <t>Ω</t>
  </si>
  <si>
    <t>Device Current Limit</t>
  </si>
  <si>
    <t>mV</t>
  </si>
  <si>
    <t>kHz</t>
  </si>
  <si>
    <t>Maximum Average Inductor Current</t>
  </si>
  <si>
    <t>A/s</t>
  </si>
  <si>
    <t>Desired Peak to Peak Ripple Percentage At Low Vin</t>
  </si>
  <si>
    <t>Peak to Peak Current Ripple at Low Vin</t>
  </si>
  <si>
    <t>Assumed Efficiency</t>
  </si>
  <si>
    <t>Minimum Inductor Value</t>
  </si>
  <si>
    <t>μH</t>
  </si>
  <si>
    <t>Inductor Value Used</t>
  </si>
  <si>
    <t>Peak to Peak Current Ripple at Low Vin, Actual Inductor</t>
  </si>
  <si>
    <t>Irms</t>
  </si>
  <si>
    <t>Ipeak</t>
  </si>
  <si>
    <t>Peak Current</t>
  </si>
  <si>
    <t>Desired Current Limit</t>
  </si>
  <si>
    <t>Recommended Current Sense Resistor</t>
  </si>
  <si>
    <t>Current Sense Resistor Used</t>
  </si>
  <si>
    <r>
      <t>m</t>
    </r>
    <r>
      <rPr>
        <sz val="11"/>
        <color theme="1"/>
        <rFont val="Calibri"/>
        <family val="2"/>
      </rPr>
      <t>Ω</t>
    </r>
  </si>
  <si>
    <t>Power Loss in Rsense at low vin, max rated current</t>
  </si>
  <si>
    <t>D</t>
  </si>
  <si>
    <t>Nom</t>
  </si>
  <si>
    <t>Real Peak Current (min)</t>
  </si>
  <si>
    <t>Real Peak Current (max)</t>
  </si>
  <si>
    <t>W</t>
  </si>
  <si>
    <t>Output Capacitance Used</t>
  </si>
  <si>
    <t>ESR at Switching Frequency</t>
  </si>
  <si>
    <t>Input Capacitance Used</t>
  </si>
  <si>
    <t>Voltage Required</t>
  </si>
  <si>
    <t>Power Dissipation</t>
  </si>
  <si>
    <t>Qg</t>
  </si>
  <si>
    <t>Switching Losses</t>
  </si>
  <si>
    <t>Conduction Losses</t>
  </si>
  <si>
    <t>RDS,ON</t>
  </si>
  <si>
    <t>Forward Voltage Drop</t>
  </si>
  <si>
    <t>Power Loss</t>
  </si>
  <si>
    <t>Required Reverse Voltage</t>
  </si>
  <si>
    <t>Average Current</t>
  </si>
  <si>
    <t>Output Voltage Ripple</t>
  </si>
  <si>
    <t>Current Ripple Rating Required</t>
  </si>
  <si>
    <t>μF</t>
  </si>
  <si>
    <t>Input Voltage Ripple</t>
  </si>
  <si>
    <t>Input Current Ripple</t>
  </si>
  <si>
    <t>Worst Case Input Voltage</t>
  </si>
  <si>
    <t>nC</t>
  </si>
  <si>
    <t>Switch Turn On Time</t>
  </si>
  <si>
    <t>Switch Turn Off Time</t>
  </si>
  <si>
    <t>ns</t>
  </si>
  <si>
    <t>Graph Settings</t>
  </si>
  <si>
    <t>Minimum Frequency</t>
  </si>
  <si>
    <t>Maximum Frequency</t>
  </si>
  <si>
    <t>Hz</t>
  </si>
  <si>
    <t>R</t>
  </si>
  <si>
    <t>C1</t>
  </si>
  <si>
    <t>C2</t>
  </si>
  <si>
    <t>ota1</t>
  </si>
  <si>
    <t>ota2</t>
  </si>
  <si>
    <t>ota3</t>
  </si>
  <si>
    <t>g(s)</t>
  </si>
  <si>
    <t>nF</t>
  </si>
  <si>
    <t>|(g(s)|</t>
  </si>
  <si>
    <t>Desired Crossover Frequency</t>
  </si>
  <si>
    <t>Pole Location</t>
  </si>
  <si>
    <t>Zero Location</t>
  </si>
  <si>
    <t>R value used</t>
  </si>
  <si>
    <t>C1 value used</t>
  </si>
  <si>
    <t>C2 value used</t>
  </si>
  <si>
    <t>Gain At Frequency</t>
  </si>
  <si>
    <t>Suggested RC value</t>
  </si>
  <si>
    <t>Suggested CC1 value</t>
  </si>
  <si>
    <t>Suggested CC2 value</t>
  </si>
  <si>
    <t>This tool is intended to assist the user when designing with the NCV8871 for continuous conduction mode boost applications.</t>
  </si>
  <si>
    <t>It is intended to provide first pass values and does not replace simulation and prototyping.</t>
  </si>
  <si>
    <t>Enter values into the green cells in order by sheet for best results.</t>
  </si>
  <si>
    <t>Rev 1 (May 2014): Corrected current sense power loss equation</t>
  </si>
  <si>
    <t>Rev 2 (12 June 2014):  Corrected compensation analysis.  1) s =  i*f corrected to s = i*2*pie*f.  2) Improved the OTA model (ref How2power.com Alain Laprade paper)</t>
  </si>
  <si>
    <t>OTA Parameters</t>
  </si>
  <si>
    <t>C0</t>
  </si>
  <si>
    <t>F</t>
  </si>
  <si>
    <t>R0</t>
  </si>
  <si>
    <t>Rotaesd</t>
  </si>
  <si>
    <t>gm</t>
  </si>
  <si>
    <t>wz1e</t>
  </si>
  <si>
    <t>wz2e</t>
  </si>
  <si>
    <t>wp1e</t>
  </si>
  <si>
    <t>wp2e</t>
  </si>
  <si>
    <t>comp_C1</t>
  </si>
  <si>
    <t>comp_C2</t>
  </si>
  <si>
    <r>
      <t>mV/</t>
    </r>
    <r>
      <rPr>
        <sz val="11"/>
        <color theme="1"/>
        <rFont val="Calibri"/>
        <family val="2"/>
      </rPr>
      <t>μA</t>
    </r>
  </si>
  <si>
    <t>Rev 3 (19 June 2019):  Correction made in compensation component selection (section 9)</t>
  </si>
  <si>
    <t>NCV8871 Boost Design Tool Revision 3 (19JUN19)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</si>
</sst>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2" fillId="2" borderId="1" applyNumberFormat="0" applyAlignment="0">
      <protection hidden="1"/>
    </xf>
    <xf numFmtId="0" fontId="1" fillId="3" borderId="0">
      <protection locked="0"/>
    </xf>
  </cellStyleXfs>
  <cellXfs count="14">
    <xf numFmtId="0" fontId="0" fillId="0" borderId="0" xfId="0"/>
    <xf numFmtId="0" fontId="3" fillId="0" borderId="0" xfId="0" applyFont="1"/>
    <xf numFmtId="0" fontId="1" fillId="3" borderId="0" xfId="2">
      <protection locked="0"/>
    </xf>
    <xf numFmtId="0" fontId="1" fillId="3" borderId="0" xfId="2" applyBorder="1">
      <protection locked="0"/>
    </xf>
    <xf numFmtId="0" fontId="2" fillId="2" borderId="1" xfId="1">
      <protection hidden="1"/>
    </xf>
    <xf numFmtId="0" fontId="3" fillId="0" borderId="0" xfId="0" applyFont="1" applyFill="1" applyBorder="1"/>
    <xf numFmtId="0" fontId="0" fillId="0" borderId="0" xfId="0" applyProtection="1">
      <protection hidden="1"/>
    </xf>
    <xf numFmtId="0" fontId="1" fillId="3" borderId="0" xfId="2" applyProtection="1">
      <protection locked="0" hidden="1"/>
    </xf>
    <xf numFmtId="0" fontId="5" fillId="0" borderId="0" xfId="0" applyFont="1"/>
    <xf numFmtId="0" fontId="0" fillId="0" borderId="0" xfId="0" applyProtection="1">
      <protection locked="0" hidden="1"/>
    </xf>
    <xf numFmtId="0" fontId="2" fillId="2" borderId="1" xfId="1" applyProtection="1">
      <protection locked="0" hidden="1"/>
    </xf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8" fillId="0" borderId="0" xfId="0" applyFont="1" applyProtection="1">
      <protection hidden="1"/>
    </xf>
  </cellXfs>
  <cellStyles count="3">
    <cellStyle name="Calculation" xfId="1" builtinId="22" customBuiltin="1"/>
    <cellStyle name="Normal" xfId="0" builtinId="0"/>
    <cellStyle name="ONInput" xfId="2"/>
  </cellStyles>
  <dxfs count="2">
    <dxf>
      <font>
        <color theme="5" tint="-0.24994659260841701"/>
      </font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Phase of Vout</a:t>
            </a:r>
            <a:r>
              <a:rPr lang="en-US" baseline="0"/>
              <a:t> / Verr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'9. Loop Compensation'!$AI$1</c:f>
              <c:strCache>
                <c:ptCount val="1"/>
                <c:pt idx="0">
                  <c:v>°</c:v>
                </c:pt>
              </c:strCache>
            </c:strRef>
          </c:tx>
          <c:marker>
            <c:symbol val="none"/>
          </c:marker>
          <c:xVal>
            <c:numRef>
              <c:f>'9. Loop Compensation'!$Z$2:$Z$201</c:f>
              <c:numCache>
                <c:formatCode>General</c:formatCode>
                <c:ptCount val="200"/>
                <c:pt idx="0">
                  <c:v>1</c:v>
                </c:pt>
                <c:pt idx="1">
                  <c:v>1.0715193052376064</c:v>
                </c:pt>
                <c:pt idx="2">
                  <c:v>1.1481536214968828</c:v>
                </c:pt>
                <c:pt idx="3">
                  <c:v>1.2302687708123814</c:v>
                </c:pt>
                <c:pt idx="4">
                  <c:v>1.318256738556407</c:v>
                </c:pt>
                <c:pt idx="5">
                  <c:v>1.4125375446227544</c:v>
                </c:pt>
                <c:pt idx="6">
                  <c:v>1.513561248436208</c:v>
                </c:pt>
                <c:pt idx="7">
                  <c:v>1.6218100973589298</c:v>
                </c:pt>
                <c:pt idx="8">
                  <c:v>1.7378008287493754</c:v>
                </c:pt>
                <c:pt idx="9">
                  <c:v>1.8620871366628673</c:v>
                </c:pt>
                <c:pt idx="10">
                  <c:v>1.9952623149688797</c:v>
                </c:pt>
                <c:pt idx="11">
                  <c:v>2.1379620895022318</c:v>
                </c:pt>
                <c:pt idx="12">
                  <c:v>2.2908676527677727</c:v>
                </c:pt>
                <c:pt idx="13">
                  <c:v>2.4547089156850301</c:v>
                </c:pt>
                <c:pt idx="14">
                  <c:v>2.6302679918953817</c:v>
                </c:pt>
                <c:pt idx="15">
                  <c:v>2.8183829312644537</c:v>
                </c:pt>
                <c:pt idx="16">
                  <c:v>3.0199517204020156</c:v>
                </c:pt>
                <c:pt idx="17">
                  <c:v>3.2359365692962818</c:v>
                </c:pt>
                <c:pt idx="18">
                  <c:v>3.4673685045253162</c:v>
                </c:pt>
                <c:pt idx="19">
                  <c:v>3.7153522909717256</c:v>
                </c:pt>
                <c:pt idx="20">
                  <c:v>3.9810717055349727</c:v>
                </c:pt>
                <c:pt idx="21">
                  <c:v>4.2657951880159262</c:v>
                </c:pt>
                <c:pt idx="22">
                  <c:v>4.570881896148749</c:v>
                </c:pt>
                <c:pt idx="23">
                  <c:v>4.8977881936844616</c:v>
                </c:pt>
                <c:pt idx="24">
                  <c:v>5.2480746024977245</c:v>
                </c:pt>
                <c:pt idx="25">
                  <c:v>5.6234132519034903</c:v>
                </c:pt>
                <c:pt idx="26">
                  <c:v>6.0255958607435751</c:v>
                </c:pt>
                <c:pt idx="27">
                  <c:v>6.4565422903465537</c:v>
                </c:pt>
                <c:pt idx="28">
                  <c:v>6.9183097091893631</c:v>
                </c:pt>
                <c:pt idx="29">
                  <c:v>7.4131024130091765</c:v>
                </c:pt>
                <c:pt idx="30">
                  <c:v>7.943282347242814</c:v>
                </c:pt>
                <c:pt idx="31">
                  <c:v>8.5113803820237646</c:v>
                </c:pt>
                <c:pt idx="32">
                  <c:v>9.1201083935590948</c:v>
                </c:pt>
                <c:pt idx="33">
                  <c:v>9.7723722095581049</c:v>
                </c:pt>
                <c:pt idx="34">
                  <c:v>10.471285480508991</c:v>
                </c:pt>
                <c:pt idx="35">
                  <c:v>11.220184543019631</c:v>
                </c:pt>
                <c:pt idx="36">
                  <c:v>12.022644346174127</c:v>
                </c:pt>
                <c:pt idx="37">
                  <c:v>12.882495516931341</c:v>
                </c:pt>
                <c:pt idx="38">
                  <c:v>13.803842646028851</c:v>
                </c:pt>
                <c:pt idx="39">
                  <c:v>14.791083881682074</c:v>
                </c:pt>
                <c:pt idx="40">
                  <c:v>15.848931924611136</c:v>
                </c:pt>
                <c:pt idx="41">
                  <c:v>16.982436524617441</c:v>
                </c:pt>
                <c:pt idx="42">
                  <c:v>18.197008586099834</c:v>
                </c:pt>
                <c:pt idx="43">
                  <c:v>19.498445997580447</c:v>
                </c:pt>
                <c:pt idx="44">
                  <c:v>20.892961308540382</c:v>
                </c:pt>
                <c:pt idx="45">
                  <c:v>22.387211385683386</c:v>
                </c:pt>
                <c:pt idx="46">
                  <c:v>23.988329190194897</c:v>
                </c:pt>
                <c:pt idx="47">
                  <c:v>25.703957827688622</c:v>
                </c:pt>
                <c:pt idx="48">
                  <c:v>27.542287033381651</c:v>
                </c:pt>
                <c:pt idx="49">
                  <c:v>29.512092266663849</c:v>
                </c:pt>
                <c:pt idx="50">
                  <c:v>31.622776601683789</c:v>
                </c:pt>
                <c:pt idx="51">
                  <c:v>33.884415613920254</c:v>
                </c:pt>
                <c:pt idx="52">
                  <c:v>36.307805477010106</c:v>
                </c:pt>
                <c:pt idx="53">
                  <c:v>38.904514499428039</c:v>
                </c:pt>
                <c:pt idx="54">
                  <c:v>41.686938347033525</c:v>
                </c:pt>
                <c:pt idx="55">
                  <c:v>44.668359215096302</c:v>
                </c:pt>
                <c:pt idx="56">
                  <c:v>47.863009232263813</c:v>
                </c:pt>
                <c:pt idx="57">
                  <c:v>51.286138399136469</c:v>
                </c:pt>
                <c:pt idx="58">
                  <c:v>54.95408738576247</c:v>
                </c:pt>
                <c:pt idx="59">
                  <c:v>58.884365535558892</c:v>
                </c:pt>
                <c:pt idx="60">
                  <c:v>63.095734448019307</c:v>
                </c:pt>
                <c:pt idx="61">
                  <c:v>67.608297539198134</c:v>
                </c:pt>
                <c:pt idx="62">
                  <c:v>72.443596007499011</c:v>
                </c:pt>
                <c:pt idx="63">
                  <c:v>77.624711662869146</c:v>
                </c:pt>
                <c:pt idx="64">
                  <c:v>83.176377110267055</c:v>
                </c:pt>
                <c:pt idx="65">
                  <c:v>89.125093813374562</c:v>
                </c:pt>
                <c:pt idx="66">
                  <c:v>95.49925860214357</c:v>
                </c:pt>
                <c:pt idx="67">
                  <c:v>102.32929922807544</c:v>
                </c:pt>
                <c:pt idx="68">
                  <c:v>109.64781961431841</c:v>
                </c:pt>
                <c:pt idx="69">
                  <c:v>117.48975549395293</c:v>
                </c:pt>
                <c:pt idx="70">
                  <c:v>125.89254117941665</c:v>
                </c:pt>
                <c:pt idx="71">
                  <c:v>134.89628825916537</c:v>
                </c:pt>
                <c:pt idx="72">
                  <c:v>144.54397707459273</c:v>
                </c:pt>
                <c:pt idx="73">
                  <c:v>154.88166189124806</c:v>
                </c:pt>
                <c:pt idx="74">
                  <c:v>165.95869074375608</c:v>
                </c:pt>
                <c:pt idx="75">
                  <c:v>177.82794100389225</c:v>
                </c:pt>
                <c:pt idx="76">
                  <c:v>190.54607179632481</c:v>
                </c:pt>
                <c:pt idx="77">
                  <c:v>204.17379446695278</c:v>
                </c:pt>
                <c:pt idx="78">
                  <c:v>218.77616239495524</c:v>
                </c:pt>
                <c:pt idx="79">
                  <c:v>234.42288153199212</c:v>
                </c:pt>
                <c:pt idx="80">
                  <c:v>251.18864315095806</c:v>
                </c:pt>
                <c:pt idx="81">
                  <c:v>269.15348039269156</c:v>
                </c:pt>
                <c:pt idx="82">
                  <c:v>288.4031503126605</c:v>
                </c:pt>
                <c:pt idx="83">
                  <c:v>309.02954325135909</c:v>
                </c:pt>
                <c:pt idx="84">
                  <c:v>331.13112148259108</c:v>
                </c:pt>
                <c:pt idx="85">
                  <c:v>354.81338923357566</c:v>
                </c:pt>
                <c:pt idx="86">
                  <c:v>380.18939632056095</c:v>
                </c:pt>
                <c:pt idx="87">
                  <c:v>407.38027780411232</c:v>
                </c:pt>
                <c:pt idx="88">
                  <c:v>436.51583224016542</c:v>
                </c:pt>
                <c:pt idx="89">
                  <c:v>467.73514128719791</c:v>
                </c:pt>
                <c:pt idx="90">
                  <c:v>501.18723362727184</c:v>
                </c:pt>
                <c:pt idx="91">
                  <c:v>537.03179637025255</c:v>
                </c:pt>
                <c:pt idx="92">
                  <c:v>575.43993733715661</c:v>
                </c:pt>
                <c:pt idx="93">
                  <c:v>616.59500186148216</c:v>
                </c:pt>
                <c:pt idx="94">
                  <c:v>660.69344800759518</c:v>
                </c:pt>
                <c:pt idx="95">
                  <c:v>707.94578438413748</c:v>
                </c:pt>
                <c:pt idx="96">
                  <c:v>758.57757502918309</c:v>
                </c:pt>
                <c:pt idx="97">
                  <c:v>812.8305161640983</c:v>
                </c:pt>
                <c:pt idx="98">
                  <c:v>870.96358995608011</c:v>
                </c:pt>
                <c:pt idx="99">
                  <c:v>933.25430079699026</c:v>
                </c:pt>
                <c:pt idx="100">
                  <c:v>999.99999999999977</c:v>
                </c:pt>
                <c:pt idx="101">
                  <c:v>1071.5193052376057</c:v>
                </c:pt>
                <c:pt idx="102">
                  <c:v>1148.1536214968828</c:v>
                </c:pt>
                <c:pt idx="103">
                  <c:v>1230.2687708123801</c:v>
                </c:pt>
                <c:pt idx="104">
                  <c:v>1318.2567385564053</c:v>
                </c:pt>
                <c:pt idx="105">
                  <c:v>1412.5375446227531</c:v>
                </c:pt>
                <c:pt idx="106">
                  <c:v>1513.5612484362066</c:v>
                </c:pt>
                <c:pt idx="107">
                  <c:v>1621.8100973589292</c:v>
                </c:pt>
                <c:pt idx="108">
                  <c:v>1737.8008287493742</c:v>
                </c:pt>
                <c:pt idx="109">
                  <c:v>1862.0871366628671</c:v>
                </c:pt>
                <c:pt idx="110">
                  <c:v>1995.2623149688786</c:v>
                </c:pt>
                <c:pt idx="111">
                  <c:v>2137.9620895022326</c:v>
                </c:pt>
                <c:pt idx="112">
                  <c:v>2290.8676527677708</c:v>
                </c:pt>
                <c:pt idx="113">
                  <c:v>2454.708915685027</c:v>
                </c:pt>
                <c:pt idx="114">
                  <c:v>2630.26799189538</c:v>
                </c:pt>
                <c:pt idx="115">
                  <c:v>2818.3829312644511</c:v>
                </c:pt>
                <c:pt idx="116">
                  <c:v>3019.9517204020176</c:v>
                </c:pt>
                <c:pt idx="117">
                  <c:v>3235.9365692962774</c:v>
                </c:pt>
                <c:pt idx="118">
                  <c:v>3467.368504525316</c:v>
                </c:pt>
                <c:pt idx="119">
                  <c:v>3715.352290971724</c:v>
                </c:pt>
                <c:pt idx="120">
                  <c:v>3981.0717055349701</c:v>
                </c:pt>
                <c:pt idx="121">
                  <c:v>4265.7951880159226</c:v>
                </c:pt>
                <c:pt idx="122">
                  <c:v>4570.881896148745</c:v>
                </c:pt>
                <c:pt idx="123">
                  <c:v>4897.7881936844633</c:v>
                </c:pt>
                <c:pt idx="124">
                  <c:v>5248.0746024977261</c:v>
                </c:pt>
                <c:pt idx="125">
                  <c:v>5623.4132519034893</c:v>
                </c:pt>
                <c:pt idx="126">
                  <c:v>6025.5958607435741</c:v>
                </c:pt>
                <c:pt idx="127">
                  <c:v>6456.5422903465496</c:v>
                </c:pt>
                <c:pt idx="128">
                  <c:v>6918.3097091893569</c:v>
                </c:pt>
                <c:pt idx="129">
                  <c:v>7413.1024130091646</c:v>
                </c:pt>
                <c:pt idx="130">
                  <c:v>7943.2823472428154</c:v>
                </c:pt>
                <c:pt idx="131">
                  <c:v>8511.3803820237626</c:v>
                </c:pt>
                <c:pt idx="132">
                  <c:v>9120.1083935590923</c:v>
                </c:pt>
                <c:pt idx="133">
                  <c:v>9772.3722095580997</c:v>
                </c:pt>
                <c:pt idx="134">
                  <c:v>10471.285480509003</c:v>
                </c:pt>
                <c:pt idx="135">
                  <c:v>11220.184543019639</c:v>
                </c:pt>
                <c:pt idx="136">
                  <c:v>12022.644346174109</c:v>
                </c:pt>
                <c:pt idx="137">
                  <c:v>12882.495516931338</c:v>
                </c:pt>
                <c:pt idx="138">
                  <c:v>13803.842646028841</c:v>
                </c:pt>
                <c:pt idx="139">
                  <c:v>14791.083881682063</c:v>
                </c:pt>
                <c:pt idx="140">
                  <c:v>15848.931924611119</c:v>
                </c:pt>
                <c:pt idx="141">
                  <c:v>16982.436524617453</c:v>
                </c:pt>
                <c:pt idx="142">
                  <c:v>18197.008586099837</c:v>
                </c:pt>
                <c:pt idx="143">
                  <c:v>19498.445997580417</c:v>
                </c:pt>
                <c:pt idx="144">
                  <c:v>20892.961308540387</c:v>
                </c:pt>
                <c:pt idx="145">
                  <c:v>22387.211385683382</c:v>
                </c:pt>
                <c:pt idx="146">
                  <c:v>23988.32919019488</c:v>
                </c:pt>
                <c:pt idx="147">
                  <c:v>25703.957827688606</c:v>
                </c:pt>
                <c:pt idx="148">
                  <c:v>27542.287033381672</c:v>
                </c:pt>
                <c:pt idx="149">
                  <c:v>29512.092266663854</c:v>
                </c:pt>
                <c:pt idx="150">
                  <c:v>31622.776601683781</c:v>
                </c:pt>
                <c:pt idx="151">
                  <c:v>33884.415613920231</c:v>
                </c:pt>
                <c:pt idx="152">
                  <c:v>36307.805477010166</c:v>
                </c:pt>
                <c:pt idx="153">
                  <c:v>38904.514499428085</c:v>
                </c:pt>
                <c:pt idx="154">
                  <c:v>41686.93834703348</c:v>
                </c:pt>
                <c:pt idx="155">
                  <c:v>44668.359215096309</c:v>
                </c:pt>
                <c:pt idx="156">
                  <c:v>47863.009232263823</c:v>
                </c:pt>
                <c:pt idx="157">
                  <c:v>51286.138399136456</c:v>
                </c:pt>
                <c:pt idx="158">
                  <c:v>54954.08738576241</c:v>
                </c:pt>
                <c:pt idx="159">
                  <c:v>58884.365535558936</c:v>
                </c:pt>
                <c:pt idx="160">
                  <c:v>63095.734448019342</c:v>
                </c:pt>
                <c:pt idx="161">
                  <c:v>67608.297539198174</c:v>
                </c:pt>
                <c:pt idx="162">
                  <c:v>72443.596007498985</c:v>
                </c:pt>
                <c:pt idx="163">
                  <c:v>77624.711662869129</c:v>
                </c:pt>
                <c:pt idx="164">
                  <c:v>83176.377110267029</c:v>
                </c:pt>
                <c:pt idx="165">
                  <c:v>89125.093813374449</c:v>
                </c:pt>
                <c:pt idx="166">
                  <c:v>95499.258602143629</c:v>
                </c:pt>
                <c:pt idx="167">
                  <c:v>102329.29922807543</c:v>
                </c:pt>
                <c:pt idx="168">
                  <c:v>109647.81961431848</c:v>
                </c:pt>
                <c:pt idx="169">
                  <c:v>117489.75549395289</c:v>
                </c:pt>
                <c:pt idx="170">
                  <c:v>125892.54117941685</c:v>
                </c:pt>
                <c:pt idx="171">
                  <c:v>134896.28825916522</c:v>
                </c:pt>
                <c:pt idx="172">
                  <c:v>144543.97707459255</c:v>
                </c:pt>
                <c:pt idx="173">
                  <c:v>154881.66189124787</c:v>
                </c:pt>
                <c:pt idx="174">
                  <c:v>165958.69074375575</c:v>
                </c:pt>
                <c:pt idx="175">
                  <c:v>177827.94100389219</c:v>
                </c:pt>
                <c:pt idx="176">
                  <c:v>190546.07179632425</c:v>
                </c:pt>
                <c:pt idx="177">
                  <c:v>204173.79446695274</c:v>
                </c:pt>
                <c:pt idx="178">
                  <c:v>218776.16239495497</c:v>
                </c:pt>
                <c:pt idx="179">
                  <c:v>234422.88153199226</c:v>
                </c:pt>
                <c:pt idx="180">
                  <c:v>251188.64315095753</c:v>
                </c:pt>
                <c:pt idx="181">
                  <c:v>269153.48039269098</c:v>
                </c:pt>
                <c:pt idx="182">
                  <c:v>288403.15031266044</c:v>
                </c:pt>
                <c:pt idx="183">
                  <c:v>309029.54325135821</c:v>
                </c:pt>
                <c:pt idx="184">
                  <c:v>331131.12148259068</c:v>
                </c:pt>
                <c:pt idx="185">
                  <c:v>354813.38923357491</c:v>
                </c:pt>
                <c:pt idx="186">
                  <c:v>380189.39632056118</c:v>
                </c:pt>
                <c:pt idx="187">
                  <c:v>407380.27780411189</c:v>
                </c:pt>
                <c:pt idx="188">
                  <c:v>436515.83224016492</c:v>
                </c:pt>
                <c:pt idx="189">
                  <c:v>467735.14128719777</c:v>
                </c:pt>
                <c:pt idx="190">
                  <c:v>501187.23362727172</c:v>
                </c:pt>
                <c:pt idx="191">
                  <c:v>537031.79637025192</c:v>
                </c:pt>
                <c:pt idx="192">
                  <c:v>575439.93733715592</c:v>
                </c:pt>
                <c:pt idx="193">
                  <c:v>616595.00186148204</c:v>
                </c:pt>
                <c:pt idx="194">
                  <c:v>660693.44800759444</c:v>
                </c:pt>
                <c:pt idx="195">
                  <c:v>707945.78438413737</c:v>
                </c:pt>
                <c:pt idx="196">
                  <c:v>758577.57502918295</c:v>
                </c:pt>
                <c:pt idx="197">
                  <c:v>812830.51616409956</c:v>
                </c:pt>
                <c:pt idx="198">
                  <c:v>870963.58995607914</c:v>
                </c:pt>
                <c:pt idx="199">
                  <c:v>933254.30079698924</c:v>
                </c:pt>
              </c:numCache>
            </c:numRef>
          </c:xVal>
          <c:yVal>
            <c:numRef>
              <c:f>'9. Loop Compensation'!$AI$2:$AI$201</c:f>
              <c:numCache>
                <c:formatCode>General</c:formatCode>
                <c:ptCount val="200"/>
                <c:pt idx="0">
                  <c:v>-0.87953525932075827</c:v>
                </c:pt>
                <c:pt idx="1">
                  <c:v>-0.94242814949119058</c:v>
                </c:pt>
                <c:pt idx="2">
                  <c:v>-1.0098165952324061</c:v>
                </c:pt>
                <c:pt idx="3">
                  <c:v>-1.0820215400749302</c:v>
                </c:pt>
                <c:pt idx="4">
                  <c:v>-1.1593867487940077</c:v>
                </c:pt>
                <c:pt idx="5">
                  <c:v>-1.2422804091202719</c:v>
                </c:pt>
                <c:pt idx="6">
                  <c:v>-1.3310968410095982</c:v>
                </c:pt>
                <c:pt idx="7">
                  <c:v>-1.4262583195610405</c:v>
                </c:pt>
                <c:pt idx="8">
                  <c:v>-1.5282170177413839</c:v>
                </c:pt>
                <c:pt idx="9">
                  <c:v>-1.6374570750654445</c:v>
                </c:pt>
                <c:pt idx="10">
                  <c:v>-1.7544967982701805</c:v>
                </c:pt>
                <c:pt idx="11">
                  <c:v>-1.8798909997763715</c:v>
                </c:pt>
                <c:pt idx="12">
                  <c:v>-2.0142334793183427</c:v>
                </c:pt>
                <c:pt idx="13">
                  <c:v>-2.1581596534927949</c:v>
                </c:pt>
                <c:pt idx="14">
                  <c:v>-2.3123493370770429</c:v>
                </c:pt>
                <c:pt idx="15">
                  <c:v>-2.4775296787255603</c:v>
                </c:pt>
                <c:pt idx="16">
                  <c:v>-2.6544782519865606</c:v>
                </c:pt>
                <c:pt idx="17">
                  <c:v>-2.8440263003881512</c:v>
                </c:pt>
                <c:pt idx="18">
                  <c:v>-3.0470621324967739</c:v>
                </c:pt>
                <c:pt idx="19">
                  <c:v>-3.2645346592064546</c:v>
                </c:pt>
                <c:pt idx="20">
                  <c:v>-3.4974570608893147</c:v>
                </c:pt>
                <c:pt idx="21">
                  <c:v>-3.7469105662149063</c:v>
                </c:pt>
                <c:pt idx="22">
                  <c:v>-4.0140483171705323</c:v>
                </c:pt>
                <c:pt idx="23">
                  <c:v>-4.3000992857866995</c:v>
                </c:pt>
                <c:pt idx="24">
                  <c:v>-4.606372196935526</c:v>
                </c:pt>
                <c:pt idx="25">
                  <c:v>-4.9342593979231779</c:v>
                </c:pt>
                <c:pt idx="26">
                  <c:v>-5.2852405989632958</c:v>
                </c:pt>
                <c:pt idx="27">
                  <c:v>-5.6608863884875209</c:v>
                </c:pt>
                <c:pt idx="28">
                  <c:v>-6.062861403030058</c:v>
                </c:pt>
                <c:pt idx="29">
                  <c:v>-6.4929270025117072</c:v>
                </c:pt>
                <c:pt idx="30">
                  <c:v>-6.9529432675131595</c:v>
                </c:pt>
                <c:pt idx="31">
                  <c:v>-7.4448700949599251</c:v>
                </c:pt>
                <c:pt idx="32">
                  <c:v>-7.9707671220401988</c:v>
                </c:pt>
                <c:pt idx="33">
                  <c:v>-8.5327921548087069</c:v>
                </c:pt>
                <c:pt idx="34">
                  <c:v>-9.1331977177931059</c:v>
                </c:pt>
                <c:pt idx="35">
                  <c:v>-9.7743252745215461</c:v>
                </c:pt>
                <c:pt idx="36">
                  <c:v>-10.458596597489379</c:v>
                </c:pt>
                <c:pt idx="37">
                  <c:v>-11.188501692024332</c:v>
                </c:pt>
                <c:pt idx="38">
                  <c:v>-11.966582605632475</c:v>
                </c:pt>
                <c:pt idx="39">
                  <c:v>-12.795412388483976</c:v>
                </c:pt>
                <c:pt idx="40">
                  <c:v>-13.677568420024949</c:v>
                </c:pt>
                <c:pt idx="41">
                  <c:v>-14.615599292561473</c:v>
                </c:pt>
                <c:pt idx="42">
                  <c:v>-15.611984459804557</c:v>
                </c:pt>
                <c:pt idx="43">
                  <c:v>-16.66908593519338</c:v>
                </c:pt>
                <c:pt idx="44">
                  <c:v>-17.789091483074149</c:v>
                </c:pt>
                <c:pt idx="45">
                  <c:v>-18.973949009639572</c:v>
                </c:pt>
                <c:pt idx="46">
                  <c:v>-20.225292254198958</c:v>
                </c:pt>
                <c:pt idx="47">
                  <c:v>-21.544358425722585</c:v>
                </c:pt>
                <c:pt idx="48">
                  <c:v>-22.931899136738643</c:v>
                </c:pt>
                <c:pt idx="49">
                  <c:v>-24.388086852625996</c:v>
                </c:pt>
                <c:pt idx="50">
                  <c:v>-25.912420070950116</c:v>
                </c:pt>
                <c:pt idx="51">
                  <c:v>-27.503631511809107</c:v>
                </c:pt>
                <c:pt idx="52">
                  <c:v>-29.159604636318154</c:v>
                </c:pt>
                <c:pt idx="53">
                  <c:v>-30.877304676697225</c:v>
                </c:pt>
                <c:pt idx="54">
                  <c:v>-32.652730886014623</c:v>
                </c:pt>
                <c:pt idx="55">
                  <c:v>-34.480896714022883</c:v>
                </c:pt>
                <c:pt idx="56">
                  <c:v>-36.355843922398556</c:v>
                </c:pt>
                <c:pt idx="57">
                  <c:v>-38.270695163684124</c:v>
                </c:pt>
                <c:pt idx="58">
                  <c:v>-40.217747262967265</c:v>
                </c:pt>
                <c:pt idx="59">
                  <c:v>-42.188604496563116</c:v>
                </c:pt>
                <c:pt idx="60">
                  <c:v>-44.174347840119431</c:v>
                </c:pt>
                <c:pt idx="61">
                  <c:v>-46.165732862012334</c:v>
                </c:pt>
                <c:pt idx="62">
                  <c:v>-48.153406126520146</c:v>
                </c:pt>
                <c:pt idx="63">
                  <c:v>-50.128128074279132</c:v>
                </c:pt>
                <c:pt idx="64">
                  <c:v>-52.080989670784476</c:v>
                </c:pt>
                <c:pt idx="65">
                  <c:v>-54.003610769247047</c:v>
                </c:pt>
                <c:pt idx="66">
                  <c:v>-55.888310013415406</c:v>
                </c:pt>
                <c:pt idx="67">
                  <c:v>-57.728238905882236</c:v>
                </c:pt>
                <c:pt idx="68">
                  <c:v>-59.517475959956798</c:v>
                </c:pt>
                <c:pt idx="69">
                  <c:v>-61.251080178292732</c:v>
                </c:pt>
                <c:pt idx="70">
                  <c:v>-62.925106055194654</c:v>
                </c:pt>
                <c:pt idx="71">
                  <c:v>-64.536584597217868</c:v>
                </c:pt>
                <c:pt idx="72">
                  <c:v>-66.083476359182086</c:v>
                </c:pt>
                <c:pt idx="73">
                  <c:v>-67.564603198375821</c:v>
                </c:pt>
                <c:pt idx="74">
                  <c:v>-68.979565461605958</c:v>
                </c:pt>
                <c:pt idx="75">
                  <c:v>-70.328650802426921</c:v>
                </c:pt>
                <c:pt idx="76">
                  <c:v>-71.612739963899642</c:v>
                </c:pt>
                <c:pt idx="77">
                  <c:v>-72.833213827793571</c:v>
                </c:pt>
                <c:pt idx="78">
                  <c:v>-73.991864964624057</c:v>
                </c:pt>
                <c:pt idx="79">
                  <c:v>-75.09081592079697</c:v>
                </c:pt>
                <c:pt idx="80">
                  <c:v>-76.132445610919746</c:v>
                </c:pt>
                <c:pt idx="81">
                  <c:v>-77.119324473733272</c:v>
                </c:pt>
                <c:pt idx="82">
                  <c:v>-78.054158503330726</c:v>
                </c:pt>
                <c:pt idx="83">
                  <c:v>-78.939741871512453</c:v>
                </c:pt>
                <c:pt idx="84">
                  <c:v>-79.778917591511984</c:v>
                </c:pt>
                <c:pt idx="85">
                  <c:v>-80.574545513631591</c:v>
                </c:pt>
                <c:pt idx="86">
                  <c:v>-81.329476865405866</c:v>
                </c:pt>
                <c:pt idx="87">
                  <c:v>-82.046534530930273</c:v>
                </c:pt>
                <c:pt idx="88">
                  <c:v>-82.728498287495853</c:v>
                </c:pt>
                <c:pt idx="89">
                  <c:v>-83.378094267807469</c:v>
                </c:pt>
                <c:pt idx="90">
                  <c:v>-83.997987981482297</c:v>
                </c:pt>
                <c:pt idx="91">
                  <c:v>-84.590780301849733</c:v>
                </c:pt>
                <c:pt idx="92">
                  <c:v>-85.159005897449632</c:v>
                </c:pt>
                <c:pt idx="93">
                  <c:v>-85.705133658140653</c:v>
                </c:pt>
                <c:pt idx="94">
                  <c:v>-86.231568730960007</c:v>
                </c:pt>
                <c:pt idx="95">
                  <c:v>-86.740655839467991</c:v>
                </c:pt>
                <c:pt idx="96">
                  <c:v>-87.234683611667478</c:v>
                </c:pt>
                <c:pt idx="97">
                  <c:v>-87.71588968560728</c:v>
                </c:pt>
                <c:pt idx="98">
                  <c:v>-88.186466398651362</c:v>
                </c:pt>
                <c:pt idx="99">
                  <c:v>-88.648566896505329</c:v>
                </c:pt>
                <c:pt idx="100">
                  <c:v>-89.104311521865469</c:v>
                </c:pt>
                <c:pt idx="101">
                  <c:v>-89.555794360446072</c:v>
                </c:pt>
                <c:pt idx="102">
                  <c:v>-90.005089834559385</c:v>
                </c:pt>
                <c:pt idx="103">
                  <c:v>-90.45425924171829</c:v>
                </c:pt>
                <c:pt idx="104">
                  <c:v>-90.905357138206739</c:v>
                </c:pt>
                <c:pt idx="105">
                  <c:v>-91.360437465442203</c:v>
                </c:pt>
                <c:pt idx="106">
                  <c:v>-91.821559310448251</c:v>
                </c:pt>
                <c:pt idx="107">
                  <c:v>-92.290792181050435</c:v>
                </c:pt>
                <c:pt idx="108">
                  <c:v>-92.7702206617451</c:v>
                </c:pt>
                <c:pt idx="109">
                  <c:v>-93.261948297927106</c:v>
                </c:pt>
                <c:pt idx="110">
                  <c:v>-93.768100534834886</c:v>
                </c:pt>
                <c:pt idx="111">
                  <c:v>-94.290826514072691</c:v>
                </c:pt>
                <c:pt idx="112">
                  <c:v>-94.832299506239508</c:v>
                </c:pt>
                <c:pt idx="113">
                  <c:v>-95.39471573503495</c:v>
                </c:pt>
                <c:pt idx="114">
                  <c:v>-95.980291329128647</c:v>
                </c:pt>
                <c:pt idx="115">
                  <c:v>-96.591257127058213</c:v>
                </c:pt>
                <c:pt idx="116">
                  <c:v>-97.229851062816337</c:v>
                </c:pt>
                <c:pt idx="117">
                  <c:v>-97.89830788248922</c:v>
                </c:pt>
                <c:pt idx="118">
                  <c:v>-98.59884599375269</c:v>
                </c:pt>
                <c:pt idx="119">
                  <c:v>-99.333651340056178</c:v>
                </c:pt>
                <c:pt idx="120">
                  <c:v>-100.10485833050636</c:v>
                </c:pt>
                <c:pt idx="121">
                  <c:v>-100.91452805493059</c:v>
                </c:pt>
                <c:pt idx="122">
                  <c:v>-101.76462427896119</c:v>
                </c:pt>
                <c:pt idx="123">
                  <c:v>-102.65698804829442</c:v>
                </c:pt>
                <c:pt idx="124">
                  <c:v>-103.59331212688322</c:v>
                </c:pt>
                <c:pt idx="125">
                  <c:v>-104.57511692848072</c:v>
                </c:pt>
                <c:pt idx="126">
                  <c:v>-105.60373003264822</c:v>
                </c:pt>
                <c:pt idx="127">
                  <c:v>-106.68027173949453</c:v>
                </c:pt>
                <c:pt idx="128">
                  <c:v>-107.80564932209604</c:v>
                </c:pt>
                <c:pt idx="129">
                  <c:v>-108.9805625727561</c:v>
                </c:pt>
                <c:pt idx="130">
                  <c:v>-110.20552279449545</c:v>
                </c:pt>
                <c:pt idx="131">
                  <c:v>-111.4808864662499</c:v>
                </c:pt>
                <c:pt idx="132">
                  <c:v>-112.80690336406523</c:v>
                </c:pt>
                <c:pt idx="133">
                  <c:v>-114.18377699406155</c:v>
                </c:pt>
                <c:pt idx="134">
                  <c:v>-115.61173294820193</c:v>
                </c:pt>
                <c:pt idx="135">
                  <c:v>-117.09108852441226</c:v>
                </c:pt>
                <c:pt idx="136">
                  <c:v>-118.62231506273098</c:v>
                </c:pt>
                <c:pt idx="137">
                  <c:v>-120.2060833939897</c:v>
                </c:pt>
                <c:pt idx="138">
                  <c:v>-121.84328298699283</c:v>
                </c:pt>
                <c:pt idx="139">
                  <c:v>-123.53500706752835</c:v>
                </c:pt>
                <c:pt idx="140">
                  <c:v>-125.28249916847105</c:v>
                </c:pt>
                <c:pt idx="141">
                  <c:v>-127.08706095634339</c:v>
                </c:pt>
                <c:pt idx="142">
                  <c:v>-128.94992619429743</c:v>
                </c:pt>
                <c:pt idx="143">
                  <c:v>-130.87211059723376</c:v>
                </c:pt>
                <c:pt idx="144">
                  <c:v>-132.85425133452102</c:v>
                </c:pt>
                <c:pt idx="145">
                  <c:v>-134.89645238535445</c:v>
                </c:pt>
                <c:pt idx="146">
                  <c:v>-136.99815244063583</c:v>
                </c:pt>
                <c:pt idx="147">
                  <c:v>-139.15803046770401</c:v>
                </c:pt>
                <c:pt idx="148">
                  <c:v>-141.37396060871129</c:v>
                </c:pt>
                <c:pt idx="149">
                  <c:v>-143.64302322126173</c:v>
                </c:pt>
                <c:pt idx="150">
                  <c:v>-145.9615732153834</c:v>
                </c:pt>
                <c:pt idx="151">
                  <c:v>-148.32536109873524</c:v>
                </c:pt>
                <c:pt idx="152">
                  <c:v>-150.72969700376629</c:v>
                </c:pt>
                <c:pt idx="153">
                  <c:v>-153.16964402558528</c:v>
                </c:pt>
                <c:pt idx="154">
                  <c:v>-155.64022485716134</c:v>
                </c:pt>
                <c:pt idx="155">
                  <c:v>-158.13662514464542</c:v>
                </c:pt>
                <c:pt idx="156">
                  <c:v>-160.65437812317526</c:v>
                </c:pt>
                <c:pt idx="157">
                  <c:v>-163.18951762896174</c:v>
                </c:pt>
                <c:pt idx="158">
                  <c:v>-165.73869005405294</c:v>
                </c:pt>
                <c:pt idx="159">
                  <c:v>-168.29921968877738</c:v>
                </c:pt>
                <c:pt idx="160">
                  <c:v>-170.86912568970143</c:v>
                </c:pt>
                <c:pt idx="161">
                  <c:v>-173.44709223676571</c:v>
                </c:pt>
                <c:pt idx="162">
                  <c:v>-176.0323960767613</c:v>
                </c:pt>
                <c:pt idx="163">
                  <c:v>-178.62479752709791</c:v>
                </c:pt>
                <c:pt idx="164">
                  <c:v>178.77559779790877</c:v>
                </c:pt>
                <c:pt idx="165">
                  <c:v>176.16849862305821</c:v>
                </c:pt>
                <c:pt idx="166">
                  <c:v>173.55360079386358</c:v>
                </c:pt>
                <c:pt idx="167">
                  <c:v>170.93076487093535</c:v>
                </c:pt>
                <c:pt idx="168">
                  <c:v>168.30019016293602</c:v>
                </c:pt>
                <c:pt idx="169">
                  <c:v>165.66257682295421</c:v>
                </c:pt>
                <c:pt idx="170">
                  <c:v>163.0192677203471</c:v>
                </c:pt>
                <c:pt idx="171">
                  <c:v>160.37236209397025</c:v>
                </c:pt>
                <c:pt idx="172">
                  <c:v>157.72479365551828</c:v>
                </c:pt>
                <c:pt idx="173">
                  <c:v>155.08036700885279</c:v>
                </c:pt>
                <c:pt idx="174">
                  <c:v>152.44374810139729</c:v>
                </c:pt>
                <c:pt idx="175">
                  <c:v>149.82040694897873</c:v>
                </c:pt>
                <c:pt idx="176">
                  <c:v>147.21651396337103</c:v>
                </c:pt>
                <c:pt idx="177">
                  <c:v>144.63879460316883</c:v>
                </c:pt>
                <c:pt idx="178">
                  <c:v>142.09435038182505</c:v>
                </c:pt>
                <c:pt idx="179">
                  <c:v>139.59045705886868</c:v>
                </c:pt>
                <c:pt idx="180">
                  <c:v>137.13435269551226</c:v>
                </c:pt>
                <c:pt idx="181">
                  <c:v>134.7330288779356</c:v>
                </c:pt>
                <c:pt idx="182">
                  <c:v>132.39303769520271</c:v>
                </c:pt>
                <c:pt idx="183">
                  <c:v>130.12032511709847</c:v>
                </c:pt>
                <c:pt idx="184">
                  <c:v>127.92009855613523</c:v>
                </c:pt>
                <c:pt idx="185">
                  <c:v>125.79673304737855</c:v>
                </c:pt>
                <c:pt idx="186">
                  <c:v>123.75371710082131</c:v>
                </c:pt>
                <c:pt idx="187">
                  <c:v>121.79363627842804</c:v>
                </c:pt>
                <c:pt idx="188">
                  <c:v>119.9181902067799</c:v>
                </c:pt>
                <c:pt idx="189">
                  <c:v>118.12823719576207</c:v>
                </c:pt>
                <c:pt idx="190">
                  <c:v>116.42385989555626</c:v>
                </c:pt>
                <c:pt idx="191">
                  <c:v>114.8044453849794</c:v>
                </c:pt>
                <c:pt idx="192">
                  <c:v>113.26877357891388</c:v>
                </c:pt>
                <c:pt idx="193">
                  <c:v>111.81510868615621</c:v>
                </c:pt>
                <c:pt idx="194">
                  <c:v>110.44128946863793</c:v>
                </c:pt>
                <c:pt idx="195">
                  <c:v>109.14481510770075</c:v>
                </c:pt>
                <c:pt idx="196">
                  <c:v>107.92292447193043</c:v>
                </c:pt>
                <c:pt idx="197">
                  <c:v>106.77266744193419</c:v>
                </c:pt>
                <c:pt idx="198">
                  <c:v>105.69096765132952</c:v>
                </c:pt>
                <c:pt idx="199">
                  <c:v>104.67467654552458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1275032"/>
        <c:axId val="641269936"/>
      </c:scatterChart>
      <c:valAx>
        <c:axId val="641275032"/>
        <c:scaling>
          <c:logBase val="10"/>
          <c:orientation val="minMax"/>
          <c:min val="10"/>
        </c:scaling>
        <c:delete val="0"/>
        <c:axPos val="b"/>
        <c:minorGridlines/>
        <c:numFmt formatCode="General" sourceLinked="1"/>
        <c:majorTickMark val="out"/>
        <c:minorTickMark val="none"/>
        <c:tickLblPos val="nextTo"/>
        <c:crossAx val="641269936"/>
        <c:crosses val="autoZero"/>
        <c:crossBetween val="midCat"/>
      </c:valAx>
      <c:valAx>
        <c:axId val="641269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12750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|Vout</a:t>
            </a:r>
            <a:r>
              <a:rPr lang="en-US" baseline="0"/>
              <a:t> / Verr|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'9. Loop Compensation'!$AJ$1</c:f>
              <c:strCache>
                <c:ptCount val="1"/>
                <c:pt idx="0">
                  <c:v>db</c:v>
                </c:pt>
              </c:strCache>
            </c:strRef>
          </c:tx>
          <c:marker>
            <c:symbol val="none"/>
          </c:marker>
          <c:xVal>
            <c:numRef>
              <c:f>'9. Loop Compensation'!$Z$2:$Z$200</c:f>
              <c:numCache>
                <c:formatCode>General</c:formatCode>
                <c:ptCount val="199"/>
                <c:pt idx="0">
                  <c:v>1</c:v>
                </c:pt>
                <c:pt idx="1">
                  <c:v>1.0715193052376064</c:v>
                </c:pt>
                <c:pt idx="2">
                  <c:v>1.1481536214968828</c:v>
                </c:pt>
                <c:pt idx="3">
                  <c:v>1.2302687708123814</c:v>
                </c:pt>
                <c:pt idx="4">
                  <c:v>1.318256738556407</c:v>
                </c:pt>
                <c:pt idx="5">
                  <c:v>1.4125375446227544</c:v>
                </c:pt>
                <c:pt idx="6">
                  <c:v>1.513561248436208</c:v>
                </c:pt>
                <c:pt idx="7">
                  <c:v>1.6218100973589298</c:v>
                </c:pt>
                <c:pt idx="8">
                  <c:v>1.7378008287493754</c:v>
                </c:pt>
                <c:pt idx="9">
                  <c:v>1.8620871366628673</c:v>
                </c:pt>
                <c:pt idx="10">
                  <c:v>1.9952623149688797</c:v>
                </c:pt>
                <c:pt idx="11">
                  <c:v>2.1379620895022318</c:v>
                </c:pt>
                <c:pt idx="12">
                  <c:v>2.2908676527677727</c:v>
                </c:pt>
                <c:pt idx="13">
                  <c:v>2.4547089156850301</c:v>
                </c:pt>
                <c:pt idx="14">
                  <c:v>2.6302679918953817</c:v>
                </c:pt>
                <c:pt idx="15">
                  <c:v>2.8183829312644537</c:v>
                </c:pt>
                <c:pt idx="16">
                  <c:v>3.0199517204020156</c:v>
                </c:pt>
                <c:pt idx="17">
                  <c:v>3.2359365692962818</c:v>
                </c:pt>
                <c:pt idx="18">
                  <c:v>3.4673685045253162</c:v>
                </c:pt>
                <c:pt idx="19">
                  <c:v>3.7153522909717256</c:v>
                </c:pt>
                <c:pt idx="20">
                  <c:v>3.9810717055349727</c:v>
                </c:pt>
                <c:pt idx="21">
                  <c:v>4.2657951880159262</c:v>
                </c:pt>
                <c:pt idx="22">
                  <c:v>4.570881896148749</c:v>
                </c:pt>
                <c:pt idx="23">
                  <c:v>4.8977881936844616</c:v>
                </c:pt>
                <c:pt idx="24">
                  <c:v>5.2480746024977245</c:v>
                </c:pt>
                <c:pt idx="25">
                  <c:v>5.6234132519034903</c:v>
                </c:pt>
                <c:pt idx="26">
                  <c:v>6.0255958607435751</c:v>
                </c:pt>
                <c:pt idx="27">
                  <c:v>6.4565422903465537</c:v>
                </c:pt>
                <c:pt idx="28">
                  <c:v>6.9183097091893631</c:v>
                </c:pt>
                <c:pt idx="29">
                  <c:v>7.4131024130091765</c:v>
                </c:pt>
                <c:pt idx="30">
                  <c:v>7.943282347242814</c:v>
                </c:pt>
                <c:pt idx="31">
                  <c:v>8.5113803820237646</c:v>
                </c:pt>
                <c:pt idx="32">
                  <c:v>9.1201083935590948</c:v>
                </c:pt>
                <c:pt idx="33">
                  <c:v>9.7723722095581049</c:v>
                </c:pt>
                <c:pt idx="34">
                  <c:v>10.471285480508991</c:v>
                </c:pt>
                <c:pt idx="35">
                  <c:v>11.220184543019631</c:v>
                </c:pt>
                <c:pt idx="36">
                  <c:v>12.022644346174127</c:v>
                </c:pt>
                <c:pt idx="37">
                  <c:v>12.882495516931341</c:v>
                </c:pt>
                <c:pt idx="38">
                  <c:v>13.803842646028851</c:v>
                </c:pt>
                <c:pt idx="39">
                  <c:v>14.791083881682074</c:v>
                </c:pt>
                <c:pt idx="40">
                  <c:v>15.848931924611136</c:v>
                </c:pt>
                <c:pt idx="41">
                  <c:v>16.982436524617441</c:v>
                </c:pt>
                <c:pt idx="42">
                  <c:v>18.197008586099834</c:v>
                </c:pt>
                <c:pt idx="43">
                  <c:v>19.498445997580447</c:v>
                </c:pt>
                <c:pt idx="44">
                  <c:v>20.892961308540382</c:v>
                </c:pt>
                <c:pt idx="45">
                  <c:v>22.387211385683386</c:v>
                </c:pt>
                <c:pt idx="46">
                  <c:v>23.988329190194897</c:v>
                </c:pt>
                <c:pt idx="47">
                  <c:v>25.703957827688622</c:v>
                </c:pt>
                <c:pt idx="48">
                  <c:v>27.542287033381651</c:v>
                </c:pt>
                <c:pt idx="49">
                  <c:v>29.512092266663849</c:v>
                </c:pt>
                <c:pt idx="50">
                  <c:v>31.622776601683789</c:v>
                </c:pt>
                <c:pt idx="51">
                  <c:v>33.884415613920254</c:v>
                </c:pt>
                <c:pt idx="52">
                  <c:v>36.307805477010106</c:v>
                </c:pt>
                <c:pt idx="53">
                  <c:v>38.904514499428039</c:v>
                </c:pt>
                <c:pt idx="54">
                  <c:v>41.686938347033525</c:v>
                </c:pt>
                <c:pt idx="55">
                  <c:v>44.668359215096302</c:v>
                </c:pt>
                <c:pt idx="56">
                  <c:v>47.863009232263813</c:v>
                </c:pt>
                <c:pt idx="57">
                  <c:v>51.286138399136469</c:v>
                </c:pt>
                <c:pt idx="58">
                  <c:v>54.95408738576247</c:v>
                </c:pt>
                <c:pt idx="59">
                  <c:v>58.884365535558892</c:v>
                </c:pt>
                <c:pt idx="60">
                  <c:v>63.095734448019307</c:v>
                </c:pt>
                <c:pt idx="61">
                  <c:v>67.608297539198134</c:v>
                </c:pt>
                <c:pt idx="62">
                  <c:v>72.443596007499011</c:v>
                </c:pt>
                <c:pt idx="63">
                  <c:v>77.624711662869146</c:v>
                </c:pt>
                <c:pt idx="64">
                  <c:v>83.176377110267055</c:v>
                </c:pt>
                <c:pt idx="65">
                  <c:v>89.125093813374562</c:v>
                </c:pt>
                <c:pt idx="66">
                  <c:v>95.49925860214357</c:v>
                </c:pt>
                <c:pt idx="67">
                  <c:v>102.32929922807544</c:v>
                </c:pt>
                <c:pt idx="68">
                  <c:v>109.64781961431841</c:v>
                </c:pt>
                <c:pt idx="69">
                  <c:v>117.48975549395293</c:v>
                </c:pt>
                <c:pt idx="70">
                  <c:v>125.89254117941665</c:v>
                </c:pt>
                <c:pt idx="71">
                  <c:v>134.89628825916537</c:v>
                </c:pt>
                <c:pt idx="72">
                  <c:v>144.54397707459273</c:v>
                </c:pt>
                <c:pt idx="73">
                  <c:v>154.88166189124806</c:v>
                </c:pt>
                <c:pt idx="74">
                  <c:v>165.95869074375608</c:v>
                </c:pt>
                <c:pt idx="75">
                  <c:v>177.82794100389225</c:v>
                </c:pt>
                <c:pt idx="76">
                  <c:v>190.54607179632481</c:v>
                </c:pt>
                <c:pt idx="77">
                  <c:v>204.17379446695278</c:v>
                </c:pt>
                <c:pt idx="78">
                  <c:v>218.77616239495524</c:v>
                </c:pt>
                <c:pt idx="79">
                  <c:v>234.42288153199212</c:v>
                </c:pt>
                <c:pt idx="80">
                  <c:v>251.18864315095806</c:v>
                </c:pt>
                <c:pt idx="81">
                  <c:v>269.15348039269156</c:v>
                </c:pt>
                <c:pt idx="82">
                  <c:v>288.4031503126605</c:v>
                </c:pt>
                <c:pt idx="83">
                  <c:v>309.02954325135909</c:v>
                </c:pt>
                <c:pt idx="84">
                  <c:v>331.13112148259108</c:v>
                </c:pt>
                <c:pt idx="85">
                  <c:v>354.81338923357566</c:v>
                </c:pt>
                <c:pt idx="86">
                  <c:v>380.18939632056095</c:v>
                </c:pt>
                <c:pt idx="87">
                  <c:v>407.38027780411232</c:v>
                </c:pt>
                <c:pt idx="88">
                  <c:v>436.51583224016542</c:v>
                </c:pt>
                <c:pt idx="89">
                  <c:v>467.73514128719791</c:v>
                </c:pt>
                <c:pt idx="90">
                  <c:v>501.18723362727184</c:v>
                </c:pt>
                <c:pt idx="91">
                  <c:v>537.03179637025255</c:v>
                </c:pt>
                <c:pt idx="92">
                  <c:v>575.43993733715661</c:v>
                </c:pt>
                <c:pt idx="93">
                  <c:v>616.59500186148216</c:v>
                </c:pt>
                <c:pt idx="94">
                  <c:v>660.69344800759518</c:v>
                </c:pt>
                <c:pt idx="95">
                  <c:v>707.94578438413748</c:v>
                </c:pt>
                <c:pt idx="96">
                  <c:v>758.57757502918309</c:v>
                </c:pt>
                <c:pt idx="97">
                  <c:v>812.8305161640983</c:v>
                </c:pt>
                <c:pt idx="98">
                  <c:v>870.96358995608011</c:v>
                </c:pt>
                <c:pt idx="99">
                  <c:v>933.25430079699026</c:v>
                </c:pt>
                <c:pt idx="100">
                  <c:v>999.99999999999977</c:v>
                </c:pt>
                <c:pt idx="101">
                  <c:v>1071.5193052376057</c:v>
                </c:pt>
                <c:pt idx="102">
                  <c:v>1148.1536214968828</c:v>
                </c:pt>
                <c:pt idx="103">
                  <c:v>1230.2687708123801</c:v>
                </c:pt>
                <c:pt idx="104">
                  <c:v>1318.2567385564053</c:v>
                </c:pt>
                <c:pt idx="105">
                  <c:v>1412.5375446227531</c:v>
                </c:pt>
                <c:pt idx="106">
                  <c:v>1513.5612484362066</c:v>
                </c:pt>
                <c:pt idx="107">
                  <c:v>1621.8100973589292</c:v>
                </c:pt>
                <c:pt idx="108">
                  <c:v>1737.8008287493742</c:v>
                </c:pt>
                <c:pt idx="109">
                  <c:v>1862.0871366628671</c:v>
                </c:pt>
                <c:pt idx="110">
                  <c:v>1995.2623149688786</c:v>
                </c:pt>
                <c:pt idx="111">
                  <c:v>2137.9620895022326</c:v>
                </c:pt>
                <c:pt idx="112">
                  <c:v>2290.8676527677708</c:v>
                </c:pt>
                <c:pt idx="113">
                  <c:v>2454.708915685027</c:v>
                </c:pt>
                <c:pt idx="114">
                  <c:v>2630.26799189538</c:v>
                </c:pt>
                <c:pt idx="115">
                  <c:v>2818.3829312644511</c:v>
                </c:pt>
                <c:pt idx="116">
                  <c:v>3019.9517204020176</c:v>
                </c:pt>
                <c:pt idx="117">
                  <c:v>3235.9365692962774</c:v>
                </c:pt>
                <c:pt idx="118">
                  <c:v>3467.368504525316</c:v>
                </c:pt>
                <c:pt idx="119">
                  <c:v>3715.352290971724</c:v>
                </c:pt>
                <c:pt idx="120">
                  <c:v>3981.0717055349701</c:v>
                </c:pt>
                <c:pt idx="121">
                  <c:v>4265.7951880159226</c:v>
                </c:pt>
                <c:pt idx="122">
                  <c:v>4570.881896148745</c:v>
                </c:pt>
                <c:pt idx="123">
                  <c:v>4897.7881936844633</c:v>
                </c:pt>
                <c:pt idx="124">
                  <c:v>5248.0746024977261</c:v>
                </c:pt>
                <c:pt idx="125">
                  <c:v>5623.4132519034893</c:v>
                </c:pt>
                <c:pt idx="126">
                  <c:v>6025.5958607435741</c:v>
                </c:pt>
                <c:pt idx="127">
                  <c:v>6456.5422903465496</c:v>
                </c:pt>
                <c:pt idx="128">
                  <c:v>6918.3097091893569</c:v>
                </c:pt>
                <c:pt idx="129">
                  <c:v>7413.1024130091646</c:v>
                </c:pt>
                <c:pt idx="130">
                  <c:v>7943.2823472428154</c:v>
                </c:pt>
                <c:pt idx="131">
                  <c:v>8511.3803820237626</c:v>
                </c:pt>
                <c:pt idx="132">
                  <c:v>9120.1083935590923</c:v>
                </c:pt>
                <c:pt idx="133">
                  <c:v>9772.3722095580997</c:v>
                </c:pt>
                <c:pt idx="134">
                  <c:v>10471.285480509003</c:v>
                </c:pt>
                <c:pt idx="135">
                  <c:v>11220.184543019639</c:v>
                </c:pt>
                <c:pt idx="136">
                  <c:v>12022.644346174109</c:v>
                </c:pt>
                <c:pt idx="137">
                  <c:v>12882.495516931338</c:v>
                </c:pt>
                <c:pt idx="138">
                  <c:v>13803.842646028841</c:v>
                </c:pt>
                <c:pt idx="139">
                  <c:v>14791.083881682063</c:v>
                </c:pt>
                <c:pt idx="140">
                  <c:v>15848.931924611119</c:v>
                </c:pt>
                <c:pt idx="141">
                  <c:v>16982.436524617453</c:v>
                </c:pt>
                <c:pt idx="142">
                  <c:v>18197.008586099837</c:v>
                </c:pt>
                <c:pt idx="143">
                  <c:v>19498.445997580417</c:v>
                </c:pt>
                <c:pt idx="144">
                  <c:v>20892.961308540387</c:v>
                </c:pt>
                <c:pt idx="145">
                  <c:v>22387.211385683382</c:v>
                </c:pt>
                <c:pt idx="146">
                  <c:v>23988.32919019488</c:v>
                </c:pt>
                <c:pt idx="147">
                  <c:v>25703.957827688606</c:v>
                </c:pt>
                <c:pt idx="148">
                  <c:v>27542.287033381672</c:v>
                </c:pt>
                <c:pt idx="149">
                  <c:v>29512.092266663854</c:v>
                </c:pt>
                <c:pt idx="150">
                  <c:v>31622.776601683781</c:v>
                </c:pt>
                <c:pt idx="151">
                  <c:v>33884.415613920231</c:v>
                </c:pt>
                <c:pt idx="152">
                  <c:v>36307.805477010166</c:v>
                </c:pt>
                <c:pt idx="153">
                  <c:v>38904.514499428085</c:v>
                </c:pt>
                <c:pt idx="154">
                  <c:v>41686.93834703348</c:v>
                </c:pt>
                <c:pt idx="155">
                  <c:v>44668.359215096309</c:v>
                </c:pt>
                <c:pt idx="156">
                  <c:v>47863.009232263823</c:v>
                </c:pt>
                <c:pt idx="157">
                  <c:v>51286.138399136456</c:v>
                </c:pt>
                <c:pt idx="158">
                  <c:v>54954.08738576241</c:v>
                </c:pt>
                <c:pt idx="159">
                  <c:v>58884.365535558936</c:v>
                </c:pt>
                <c:pt idx="160">
                  <c:v>63095.734448019342</c:v>
                </c:pt>
                <c:pt idx="161">
                  <c:v>67608.297539198174</c:v>
                </c:pt>
                <c:pt idx="162">
                  <c:v>72443.596007498985</c:v>
                </c:pt>
                <c:pt idx="163">
                  <c:v>77624.711662869129</c:v>
                </c:pt>
                <c:pt idx="164">
                  <c:v>83176.377110267029</c:v>
                </c:pt>
                <c:pt idx="165">
                  <c:v>89125.093813374449</c:v>
                </c:pt>
                <c:pt idx="166">
                  <c:v>95499.258602143629</c:v>
                </c:pt>
                <c:pt idx="167">
                  <c:v>102329.29922807543</c:v>
                </c:pt>
                <c:pt idx="168">
                  <c:v>109647.81961431848</c:v>
                </c:pt>
                <c:pt idx="169">
                  <c:v>117489.75549395289</c:v>
                </c:pt>
                <c:pt idx="170">
                  <c:v>125892.54117941685</c:v>
                </c:pt>
                <c:pt idx="171">
                  <c:v>134896.28825916522</c:v>
                </c:pt>
                <c:pt idx="172">
                  <c:v>144543.97707459255</c:v>
                </c:pt>
                <c:pt idx="173">
                  <c:v>154881.66189124787</c:v>
                </c:pt>
                <c:pt idx="174">
                  <c:v>165958.69074375575</c:v>
                </c:pt>
                <c:pt idx="175">
                  <c:v>177827.94100389219</c:v>
                </c:pt>
                <c:pt idx="176">
                  <c:v>190546.07179632425</c:v>
                </c:pt>
                <c:pt idx="177">
                  <c:v>204173.79446695274</c:v>
                </c:pt>
                <c:pt idx="178">
                  <c:v>218776.16239495497</c:v>
                </c:pt>
                <c:pt idx="179">
                  <c:v>234422.88153199226</c:v>
                </c:pt>
                <c:pt idx="180">
                  <c:v>251188.64315095753</c:v>
                </c:pt>
                <c:pt idx="181">
                  <c:v>269153.48039269098</c:v>
                </c:pt>
                <c:pt idx="182">
                  <c:v>288403.15031266044</c:v>
                </c:pt>
                <c:pt idx="183">
                  <c:v>309029.54325135821</c:v>
                </c:pt>
                <c:pt idx="184">
                  <c:v>331131.12148259068</c:v>
                </c:pt>
                <c:pt idx="185">
                  <c:v>354813.38923357491</c:v>
                </c:pt>
                <c:pt idx="186">
                  <c:v>380189.39632056118</c:v>
                </c:pt>
                <c:pt idx="187">
                  <c:v>407380.27780411189</c:v>
                </c:pt>
                <c:pt idx="188">
                  <c:v>436515.83224016492</c:v>
                </c:pt>
                <c:pt idx="189">
                  <c:v>467735.14128719777</c:v>
                </c:pt>
                <c:pt idx="190">
                  <c:v>501187.23362727172</c:v>
                </c:pt>
                <c:pt idx="191">
                  <c:v>537031.79637025192</c:v>
                </c:pt>
                <c:pt idx="192">
                  <c:v>575439.93733715592</c:v>
                </c:pt>
                <c:pt idx="193">
                  <c:v>616595.00186148204</c:v>
                </c:pt>
                <c:pt idx="194">
                  <c:v>660693.44800759444</c:v>
                </c:pt>
                <c:pt idx="195">
                  <c:v>707945.78438413737</c:v>
                </c:pt>
                <c:pt idx="196">
                  <c:v>758577.57502918295</c:v>
                </c:pt>
                <c:pt idx="197">
                  <c:v>812830.51616409956</c:v>
                </c:pt>
                <c:pt idx="198">
                  <c:v>870963.58995607914</c:v>
                </c:pt>
              </c:numCache>
            </c:numRef>
          </c:xVal>
          <c:yVal>
            <c:numRef>
              <c:f>'9. Loop Compensation'!$AJ$2:$AJ$200</c:f>
              <c:numCache>
                <c:formatCode>General</c:formatCode>
                <c:ptCount val="199"/>
                <c:pt idx="0">
                  <c:v>23.515700554036098</c:v>
                </c:pt>
                <c:pt idx="1">
                  <c:v>23.515549934288728</c:v>
                </c:pt>
                <c:pt idx="2">
                  <c:v>23.515377006122534</c:v>
                </c:pt>
                <c:pt idx="3">
                  <c:v>23.515178466513973</c:v>
                </c:pt>
                <c:pt idx="4">
                  <c:v>23.514950523736676</c:v>
                </c:pt>
                <c:pt idx="5">
                  <c:v>23.514688825165571</c:v>
                </c:pt>
                <c:pt idx="6">
                  <c:v>23.514388374450668</c:v>
                </c:pt>
                <c:pt idx="7">
                  <c:v>23.514043436507237</c:v>
                </c:pt>
                <c:pt idx="8">
                  <c:v>23.513647428543717</c:v>
                </c:pt>
                <c:pt idx="9">
                  <c:v>23.513192795095911</c:v>
                </c:pt>
                <c:pt idx="10">
                  <c:v>23.512670864745601</c:v>
                </c:pt>
                <c:pt idx="11">
                  <c:v>23.512071685872407</c:v>
                </c:pt>
                <c:pt idx="12">
                  <c:v>23.511383838416418</c:v>
                </c:pt>
                <c:pt idx="13">
                  <c:v>23.510594218205227</c:v>
                </c:pt>
                <c:pt idx="14">
                  <c:v>23.509687789925419</c:v>
                </c:pt>
                <c:pt idx="15">
                  <c:v>23.508647304279883</c:v>
                </c:pt>
                <c:pt idx="16">
                  <c:v>23.507452974275015</c:v>
                </c:pt>
                <c:pt idx="17">
                  <c:v>23.506082104905946</c:v>
                </c:pt>
                <c:pt idx="18">
                  <c:v>23.504508669766025</c:v>
                </c:pt>
                <c:pt idx="19">
                  <c:v>23.502702827277112</c:v>
                </c:pt>
                <c:pt idx="20">
                  <c:v>23.500630368333518</c:v>
                </c:pt>
                <c:pt idx="21">
                  <c:v>23.498252086164779</c:v>
                </c:pt>
                <c:pt idx="22">
                  <c:v>23.495523058160401</c:v>
                </c:pt>
                <c:pt idx="23">
                  <c:v>23.492391828271238</c:v>
                </c:pt>
                <c:pt idx="24">
                  <c:v>23.488799477426237</c:v>
                </c:pt>
                <c:pt idx="25">
                  <c:v>23.484678568204686</c:v>
                </c:pt>
                <c:pt idx="26">
                  <c:v>23.479951948828976</c:v>
                </c:pt>
                <c:pt idx="27">
                  <c:v>23.474531400443595</c:v>
                </c:pt>
                <c:pt idx="28">
                  <c:v>23.468316110715072</c:v>
                </c:pt>
                <c:pt idx="29">
                  <c:v>23.461190956128345</c:v>
                </c:pt>
                <c:pt idx="30">
                  <c:v>23.45302457512647</c:v>
                </c:pt>
                <c:pt idx="31">
                  <c:v>23.443667214638836</c:v>
                </c:pt>
                <c:pt idx="32">
                  <c:v>23.43294833382447</c:v>
                </c:pt>
                <c:pt idx="33">
                  <c:v>23.420673951349421</c:v>
                </c:pt>
                <c:pt idx="34">
                  <c:v>23.406623726625007</c:v>
                </c:pt>
                <c:pt idx="35">
                  <c:v>23.390547771652443</c:v>
                </c:pt>
                <c:pt idx="36">
                  <c:v>23.372163199033288</c:v>
                </c:pt>
                <c:pt idx="37">
                  <c:v>23.351150423997773</c:v>
                </c:pt>
                <c:pt idx="38">
                  <c:v>23.327149254711617</c:v>
                </c:pt>
                <c:pt idx="39">
                  <c:v>23.299754826438644</c:v>
                </c:pt>
                <c:pt idx="40">
                  <c:v>23.268513462093786</c:v>
                </c:pt>
                <c:pt idx="41">
                  <c:v>23.232918574919317</c:v>
                </c:pt>
                <c:pt idx="42">
                  <c:v>23.192406768731544</c:v>
                </c:pt>
                <c:pt idx="43">
                  <c:v>23.146354337145493</c:v>
                </c:pt>
                <c:pt idx="44">
                  <c:v>23.094074414289615</c:v>
                </c:pt>
                <c:pt idx="45">
                  <c:v>23.034815083447178</c:v>
                </c:pt>
                <c:pt idx="46">
                  <c:v>22.967758802921139</c:v>
                </c:pt>
                <c:pt idx="47">
                  <c:v>22.892023554370237</c:v>
                </c:pt>
                <c:pt idx="48">
                  <c:v>22.806666149919572</c:v>
                </c:pt>
                <c:pt idx="49">
                  <c:v>22.710688140449534</c:v>
                </c:pt>
                <c:pt idx="50">
                  <c:v>22.603044737025876</c:v>
                </c:pt>
                <c:pt idx="51">
                  <c:v>22.482657078570764</c:v>
                </c:pt>
                <c:pt idx="52">
                  <c:v>22.348428041442666</c:v>
                </c:pt>
                <c:pt idx="53">
                  <c:v>22.199261584950865</c:v>
                </c:pt>
                <c:pt idx="54">
                  <c:v>22.034085363170192</c:v>
                </c:pt>
                <c:pt idx="55">
                  <c:v>21.851876020838095</c:v>
                </c:pt>
                <c:pt idx="56">
                  <c:v>21.651686255660067</c:v>
                </c:pt>
                <c:pt idx="57">
                  <c:v>21.43267240965864</c:v>
                </c:pt>
                <c:pt idx="58">
                  <c:v>21.194121095962345</c:v>
                </c:pt>
                <c:pt idx="59">
                  <c:v>20.935473224156745</c:v>
                </c:pt>
                <c:pt idx="60">
                  <c:v>20.656343798404816</c:v>
                </c:pt>
                <c:pt idx="61">
                  <c:v>20.356536050573158</c:v>
                </c:pt>
                <c:pt idx="62">
                  <c:v>20.036048831003587</c:v>
                </c:pt>
                <c:pt idx="63">
                  <c:v>19.695076677575617</c:v>
                </c:pt>
                <c:pt idx="64">
                  <c:v>19.334002558438243</c:v>
                </c:pt>
                <c:pt idx="65">
                  <c:v>18.953383859163395</c:v>
                </c:pt>
                <c:pt idx="66">
                  <c:v>18.55393268488632</c:v>
                </c:pt>
                <c:pt idx="67">
                  <c:v>18.136491911015007</c:v>
                </c:pt>
                <c:pt idx="68">
                  <c:v>17.702008607067306</c:v>
                </c:pt>
                <c:pt idx="69">
                  <c:v>17.251506472071423</c:v>
                </c:pt>
                <c:pt idx="70">
                  <c:v>16.786058778950459</c:v>
                </c:pt>
                <c:pt idx="71">
                  <c:v>16.306763070565534</c:v>
                </c:pt>
                <c:pt idx="72">
                  <c:v>15.814718531094867</c:v>
                </c:pt>
                <c:pt idx="73">
                  <c:v>15.311006620948628</c:v>
                </c:pt>
                <c:pt idx="74">
                  <c:v>14.796675250300325</c:v>
                </c:pt>
                <c:pt idx="75">
                  <c:v>14.272726501808464</c:v>
                </c:pt>
                <c:pt idx="76">
                  <c:v>13.740107710514661</c:v>
                </c:pt>
                <c:pt idx="77">
                  <c:v>13.199705570577862</c:v>
                </c:pt>
                <c:pt idx="78">
                  <c:v>12.65234285890074</c:v>
                </c:pt>
                <c:pt idx="79">
                  <c:v>12.098777334733452</c:v>
                </c:pt>
                <c:pt idx="80">
                  <c:v>11.53970238012489</c:v>
                </c:pt>
                <c:pt idx="81">
                  <c:v>10.975748977044193</c:v>
                </c:pt>
                <c:pt idx="82">
                  <c:v>10.407488663015576</c:v>
                </c:pt>
                <c:pt idx="83">
                  <c:v>9.8354371601922512</c:v>
                </c:pt>
                <c:pt idx="84">
                  <c:v>9.2600584270602848</c:v>
                </c:pt>
                <c:pt idx="85">
                  <c:v>8.6817689334972652</c:v>
                </c:pt>
                <c:pt idx="86">
                  <c:v>8.1009420063895163</c:v>
                </c:pt>
                <c:pt idx="87">
                  <c:v>7.5179121333014702</c:v>
                </c:pt>
                <c:pt idx="88">
                  <c:v>6.9329791455345671</c:v>
                </c:pt>
                <c:pt idx="89">
                  <c:v>6.346412229580233</c:v>
                </c:pt>
                <c:pt idx="90">
                  <c:v>5.758453738062479</c:v>
                </c:pt>
                <c:pt idx="91">
                  <c:v>5.1693227885317388</c:v>
                </c:pt>
                <c:pt idx="92">
                  <c:v>4.5792186516996347</c:v>
                </c:pt>
                <c:pt idx="93">
                  <c:v>3.9883239406534843</c:v>
                </c:pt>
                <c:pt idx="94">
                  <c:v>3.3968076199464239</c:v>
                </c:pt>
                <c:pt idx="95">
                  <c:v>2.8048278588175735</c:v>
                </c:pt>
                <c:pt idx="96">
                  <c:v>2.212534756659549</c:v>
                </c:pt>
                <c:pt idx="97">
                  <c:v>1.6200729716324687</c:v>
                </c:pt>
                <c:pt idx="98">
                  <c:v>1.0275842853377306</c:v>
                </c:pt>
                <c:pt idx="99">
                  <c:v>0.43521013797502872</c:v>
                </c:pt>
                <c:pt idx="100">
                  <c:v>-0.15690583041703005</c:v>
                </c:pt>
                <c:pt idx="101">
                  <c:v>-0.74861519606080451</c:v>
                </c:pt>
                <c:pt idx="102">
                  <c:v>-1.33976208747562</c:v>
                </c:pt>
                <c:pt idx="103">
                  <c:v>-1.9301804033375045</c:v>
                </c:pt>
                <c:pt idx="104">
                  <c:v>-2.5196908735187442</c:v>
                </c:pt>
                <c:pt idx="105">
                  <c:v>-3.1080979243964757</c:v>
                </c:pt>
                <c:pt idx="106">
                  <c:v>-3.695186309692283</c:v>
                </c:pt>
                <c:pt idx="107">
                  <c:v>-4.2807174689487395</c:v>
                </c:pt>
                <c:pt idx="108">
                  <c:v>-4.8644255775987322</c:v>
                </c:pt>
                <c:pt idx="109">
                  <c:v>-5.4460132558691452</c:v>
                </c:pt>
                <c:pt idx="110">
                  <c:v>-6.0251469090344001</c:v>
                </c:pt>
                <c:pt idx="111">
                  <c:v>-6.6014516794899265</c:v>
                </c:pt>
                <c:pt idx="112">
                  <c:v>-7.1745060026013814</c:v>
                </c:pt>
                <c:pt idx="113">
                  <c:v>-7.7438357743022577</c:v>
                </c:pt>
                <c:pt idx="114">
                  <c:v>-8.3089081601346919</c:v>
                </c:pt>
                <c:pt idx="115">
                  <c:v>-8.8691251041492549</c:v>
                </c:pt>
                <c:pt idx="116">
                  <c:v>-9.423816633163538</c:v>
                </c:pt>
                <c:pt idx="117">
                  <c:v>-9.9722340986605467</c:v>
                </c:pt>
                <c:pt idx="118">
                  <c:v>-10.513543556189484</c:v>
                </c:pt>
                <c:pt idx="119">
                  <c:v>-11.046819551135751</c:v>
                </c:pt>
                <c:pt idx="120">
                  <c:v>-11.57103965993314</c:v>
                </c:pt>
                <c:pt idx="121">
                  <c:v>-12.085080225617125</c:v>
                </c:pt>
                <c:pt idx="122">
                  <c:v>-12.587713822577417</c:v>
                </c:pt>
                <c:pt idx="123">
                  <c:v>-13.077609081405745</c:v>
                </c:pt>
                <c:pt idx="124">
                  <c:v>-13.553333591600261</c:v>
                </c:pt>
                <c:pt idx="125">
                  <c:v>-14.013360664762185</c:v>
                </c:pt>
                <c:pt idx="126">
                  <c:v>-14.456080767346908</c:v>
                </c:pt>
                <c:pt idx="127">
                  <c:v>-14.879818400653079</c:v>
                </c:pt>
                <c:pt idx="128">
                  <c:v>-15.28285509590768</c:v>
                </c:pt>
                <c:pt idx="129">
                  <c:v>-15.66345898499887</c:v>
                </c:pt>
                <c:pt idx="130">
                  <c:v>-16.019921089235947</c:v>
                </c:pt>
                <c:pt idx="131">
                  <c:v>-16.350598036659989</c:v>
                </c:pt>
                <c:pt idx="132">
                  <c:v>-16.653960385676054</c:v>
                </c:pt>
                <c:pt idx="133">
                  <c:v>-16.928645131272432</c:v>
                </c:pt>
                <c:pt idx="134">
                  <c:v>-17.173510352525881</c:v>
                </c:pt>
                <c:pt idx="135">
                  <c:v>-17.387689396663191</c:v>
                </c:pt>
                <c:pt idx="136">
                  <c:v>-17.570641565645268</c:v>
                </c:pt>
                <c:pt idx="137">
                  <c:v>-17.722196053766442</c:v>
                </c:pt>
                <c:pt idx="138">
                  <c:v>-17.84258594019726</c:v>
                </c:pt>
                <c:pt idx="139">
                  <c:v>-17.932469399659023</c:v>
                </c:pt>
                <c:pt idx="140">
                  <c:v>-17.992935949114941</c:v>
                </c:pt>
                <c:pt idx="141">
                  <c:v>-18.025496448888518</c:v>
                </c:pt>
                <c:pt idx="142">
                  <c:v>-18.032056638404661</c:v>
                </c:pt>
                <c:pt idx="143">
                  <c:v>-18.014875103584675</c:v>
                </c:pt>
                <c:pt idx="144">
                  <c:v>-17.97650763392307</c:v>
                </c:pt>
                <c:pt idx="145">
                  <c:v>-17.919740833334167</c:v>
                </c:pt>
                <c:pt idx="146">
                  <c:v>-17.847518524730305</c:v>
                </c:pt>
                <c:pt idx="147">
                  <c:v>-17.762864888239772</c:v>
                </c:pt>
                <c:pt idx="148">
                  <c:v>-17.668808380130461</c:v>
                </c:pt>
                <c:pt idx="149">
                  <c:v>-17.56831030133954</c:v>
                </c:pt>
                <c:pt idx="150">
                  <c:v>-17.464201447290673</c:v>
                </c:pt>
                <c:pt idx="151">
                  <c:v>-17.359129615472547</c:v>
                </c:pt>
                <c:pt idx="152">
                  <c:v>-17.25551992801838</c:v>
                </c:pt>
                <c:pt idx="153">
                  <c:v>-17.155549009101112</c:v>
                </c:pt>
                <c:pt idx="154">
                  <c:v>-17.061133116645312</c:v>
                </c:pt>
                <c:pt idx="155">
                  <c:v>-16.973929443703472</c:v>
                </c:pt>
                <c:pt idx="156">
                  <c:v>-16.895349050609184</c:v>
                </c:pt>
                <c:pt idx="157">
                  <c:v>-16.82657932248879</c:v>
                </c:pt>
                <c:pt idx="158">
                  <c:v>-16.768613500696816</c:v>
                </c:pt>
                <c:pt idx="159">
                  <c:v>-16.722284714550881</c:v>
                </c:pt>
                <c:pt idx="160">
                  <c:v>-16.688302016829965</c:v>
                </c:pt>
                <c:pt idx="161">
                  <c:v>-16.667286157596063</c:v>
                </c:pt>
                <c:pt idx="162">
                  <c:v>-16.659803160590194</c:v>
                </c:pt>
                <c:pt idx="163">
                  <c:v>-16.666394140233969</c:v>
                </c:pt>
                <c:pt idx="164">
                  <c:v>-16.687600170533173</c:v>
                </c:pt>
                <c:pt idx="165">
                  <c:v>-16.72398136073593</c:v>
                </c:pt>
                <c:pt idx="166">
                  <c:v>-16.776129594178919</c:v>
                </c:pt>
                <c:pt idx="167">
                  <c:v>-16.844674649258764</c:v>
                </c:pt>
                <c:pt idx="168">
                  <c:v>-16.930283658696776</c:v>
                </c:pt>
                <c:pt idx="169">
                  <c:v>-17.033654094280873</c:v>
                </c:pt>
                <c:pt idx="170">
                  <c:v>-17.155500707191887</c:v>
                </c:pt>
                <c:pt idx="171">
                  <c:v>-17.296537120055675</c:v>
                </c:pt>
                <c:pt idx="172">
                  <c:v>-17.457453055340267</c:v>
                </c:pt>
                <c:pt idx="173">
                  <c:v>-17.638888480135378</c:v>
                </c:pt>
                <c:pt idx="174">
                  <c:v>-17.841406219244419</c:v>
                </c:pt>
                <c:pt idx="175">
                  <c:v>-18.065464795133824</c:v>
                </c:pt>
                <c:pt idx="176">
                  <c:v>-18.311393349024325</c:v>
                </c:pt>
                <c:pt idx="177">
                  <c:v>-18.57937044318756</c:v>
                </c:pt>
                <c:pt idx="178">
                  <c:v>-18.869408318851018</c:v>
                </c:pt>
                <c:pt idx="179">
                  <c:v>-19.181343791839176</c:v>
                </c:pt>
                <c:pt idx="180">
                  <c:v>-19.514836443692662</c:v>
                </c:pt>
                <c:pt idx="181">
                  <c:v>-19.869374169839706</c:v>
                </c:pt>
                <c:pt idx="182">
                  <c:v>-20.244285553858163</c:v>
                </c:pt>
                <c:pt idx="183">
                  <c:v>-20.638758023520005</c:v>
                </c:pt>
                <c:pt idx="184">
                  <c:v>-21.051860370784027</c:v>
                </c:pt>
                <c:pt idx="185">
                  <c:v>-21.482568018940796</c:v>
                </c:pt>
                <c:pt idx="186">
                  <c:v>-21.929789400337999</c:v>
                </c:pt>
                <c:pt idx="187">
                  <c:v>-22.392391944944798</c:v>
                </c:pt>
                <c:pt idx="188">
                  <c:v>-22.869226431969608</c:v>
                </c:pt>
                <c:pt idx="189">
                  <c:v>-23.359148774047057</c:v>
                </c:pt>
                <c:pt idx="190">
                  <c:v>-23.861038638141494</c:v>
                </c:pt>
                <c:pt idx="191">
                  <c:v>-24.373814620201969</c:v>
                </c:pt>
                <c:pt idx="192">
                  <c:v>-24.896445955315013</c:v>
                </c:pt>
                <c:pt idx="193">
                  <c:v>-25.427960948178431</c:v>
                </c:pt>
                <c:pt idx="194">
                  <c:v>-25.967452447709995</c:v>
                </c:pt>
                <c:pt idx="195">
                  <c:v>-26.514080769961144</c:v>
                </c:pt>
                <c:pt idx="196">
                  <c:v>-27.067074505275855</c:v>
                </c:pt>
                <c:pt idx="197">
                  <c:v>-27.625729640652889</c:v>
                </c:pt>
                <c:pt idx="198">
                  <c:v>-28.189407398114874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1271896"/>
        <c:axId val="641285224"/>
      </c:scatterChart>
      <c:valAx>
        <c:axId val="641271896"/>
        <c:scaling>
          <c:logBase val="10"/>
          <c:orientation val="minMax"/>
          <c:min val="10"/>
        </c:scaling>
        <c:delete val="0"/>
        <c:axPos val="b"/>
        <c:minorGridlines/>
        <c:numFmt formatCode="General" sourceLinked="1"/>
        <c:majorTickMark val="out"/>
        <c:minorTickMark val="none"/>
        <c:tickLblPos val="nextTo"/>
        <c:crossAx val="641285224"/>
        <c:crosses val="autoZero"/>
        <c:crossBetween val="midCat"/>
      </c:valAx>
      <c:valAx>
        <c:axId val="641285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12718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Phase of Verr</a:t>
            </a:r>
            <a:r>
              <a:rPr lang="en-US" baseline="0"/>
              <a:t> / Vout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'9. Loop Compensation'!$AQ$1</c:f>
              <c:strCache>
                <c:ptCount val="1"/>
                <c:pt idx="0">
                  <c:v>°</c:v>
                </c:pt>
              </c:strCache>
            </c:strRef>
          </c:tx>
          <c:marker>
            <c:symbol val="none"/>
          </c:marker>
          <c:xVal>
            <c:numRef>
              <c:f>'9. Loop Compensation'!$Z$2:$Z$201</c:f>
              <c:numCache>
                <c:formatCode>General</c:formatCode>
                <c:ptCount val="200"/>
                <c:pt idx="0">
                  <c:v>1</c:v>
                </c:pt>
                <c:pt idx="1">
                  <c:v>1.0715193052376064</c:v>
                </c:pt>
                <c:pt idx="2">
                  <c:v>1.1481536214968828</c:v>
                </c:pt>
                <c:pt idx="3">
                  <c:v>1.2302687708123814</c:v>
                </c:pt>
                <c:pt idx="4">
                  <c:v>1.318256738556407</c:v>
                </c:pt>
                <c:pt idx="5">
                  <c:v>1.4125375446227544</c:v>
                </c:pt>
                <c:pt idx="6">
                  <c:v>1.513561248436208</c:v>
                </c:pt>
                <c:pt idx="7">
                  <c:v>1.6218100973589298</c:v>
                </c:pt>
                <c:pt idx="8">
                  <c:v>1.7378008287493754</c:v>
                </c:pt>
                <c:pt idx="9">
                  <c:v>1.8620871366628673</c:v>
                </c:pt>
                <c:pt idx="10">
                  <c:v>1.9952623149688797</c:v>
                </c:pt>
                <c:pt idx="11">
                  <c:v>2.1379620895022318</c:v>
                </c:pt>
                <c:pt idx="12">
                  <c:v>2.2908676527677727</c:v>
                </c:pt>
                <c:pt idx="13">
                  <c:v>2.4547089156850301</c:v>
                </c:pt>
                <c:pt idx="14">
                  <c:v>2.6302679918953817</c:v>
                </c:pt>
                <c:pt idx="15">
                  <c:v>2.8183829312644537</c:v>
                </c:pt>
                <c:pt idx="16">
                  <c:v>3.0199517204020156</c:v>
                </c:pt>
                <c:pt idx="17">
                  <c:v>3.2359365692962818</c:v>
                </c:pt>
                <c:pt idx="18">
                  <c:v>3.4673685045253162</c:v>
                </c:pt>
                <c:pt idx="19">
                  <c:v>3.7153522909717256</c:v>
                </c:pt>
                <c:pt idx="20">
                  <c:v>3.9810717055349727</c:v>
                </c:pt>
                <c:pt idx="21">
                  <c:v>4.2657951880159262</c:v>
                </c:pt>
                <c:pt idx="22">
                  <c:v>4.570881896148749</c:v>
                </c:pt>
                <c:pt idx="23">
                  <c:v>4.8977881936844616</c:v>
                </c:pt>
                <c:pt idx="24">
                  <c:v>5.2480746024977245</c:v>
                </c:pt>
                <c:pt idx="25">
                  <c:v>5.6234132519034903</c:v>
                </c:pt>
                <c:pt idx="26">
                  <c:v>6.0255958607435751</c:v>
                </c:pt>
                <c:pt idx="27">
                  <c:v>6.4565422903465537</c:v>
                </c:pt>
                <c:pt idx="28">
                  <c:v>6.9183097091893631</c:v>
                </c:pt>
                <c:pt idx="29">
                  <c:v>7.4131024130091765</c:v>
                </c:pt>
                <c:pt idx="30">
                  <c:v>7.943282347242814</c:v>
                </c:pt>
                <c:pt idx="31">
                  <c:v>8.5113803820237646</c:v>
                </c:pt>
                <c:pt idx="32">
                  <c:v>9.1201083935590948</c:v>
                </c:pt>
                <c:pt idx="33">
                  <c:v>9.7723722095581049</c:v>
                </c:pt>
                <c:pt idx="34">
                  <c:v>10.471285480508991</c:v>
                </c:pt>
                <c:pt idx="35">
                  <c:v>11.220184543019631</c:v>
                </c:pt>
                <c:pt idx="36">
                  <c:v>12.022644346174127</c:v>
                </c:pt>
                <c:pt idx="37">
                  <c:v>12.882495516931341</c:v>
                </c:pt>
                <c:pt idx="38">
                  <c:v>13.803842646028851</c:v>
                </c:pt>
                <c:pt idx="39">
                  <c:v>14.791083881682074</c:v>
                </c:pt>
                <c:pt idx="40">
                  <c:v>15.848931924611136</c:v>
                </c:pt>
                <c:pt idx="41">
                  <c:v>16.982436524617441</c:v>
                </c:pt>
                <c:pt idx="42">
                  <c:v>18.197008586099834</c:v>
                </c:pt>
                <c:pt idx="43">
                  <c:v>19.498445997580447</c:v>
                </c:pt>
                <c:pt idx="44">
                  <c:v>20.892961308540382</c:v>
                </c:pt>
                <c:pt idx="45">
                  <c:v>22.387211385683386</c:v>
                </c:pt>
                <c:pt idx="46">
                  <c:v>23.988329190194897</c:v>
                </c:pt>
                <c:pt idx="47">
                  <c:v>25.703957827688622</c:v>
                </c:pt>
                <c:pt idx="48">
                  <c:v>27.542287033381651</c:v>
                </c:pt>
                <c:pt idx="49">
                  <c:v>29.512092266663849</c:v>
                </c:pt>
                <c:pt idx="50">
                  <c:v>31.622776601683789</c:v>
                </c:pt>
                <c:pt idx="51">
                  <c:v>33.884415613920254</c:v>
                </c:pt>
                <c:pt idx="52">
                  <c:v>36.307805477010106</c:v>
                </c:pt>
                <c:pt idx="53">
                  <c:v>38.904514499428039</c:v>
                </c:pt>
                <c:pt idx="54">
                  <c:v>41.686938347033525</c:v>
                </c:pt>
                <c:pt idx="55">
                  <c:v>44.668359215096302</c:v>
                </c:pt>
                <c:pt idx="56">
                  <c:v>47.863009232263813</c:v>
                </c:pt>
                <c:pt idx="57">
                  <c:v>51.286138399136469</c:v>
                </c:pt>
                <c:pt idx="58">
                  <c:v>54.95408738576247</c:v>
                </c:pt>
                <c:pt idx="59">
                  <c:v>58.884365535558892</c:v>
                </c:pt>
                <c:pt idx="60">
                  <c:v>63.095734448019307</c:v>
                </c:pt>
                <c:pt idx="61">
                  <c:v>67.608297539198134</c:v>
                </c:pt>
                <c:pt idx="62">
                  <c:v>72.443596007499011</c:v>
                </c:pt>
                <c:pt idx="63">
                  <c:v>77.624711662869146</c:v>
                </c:pt>
                <c:pt idx="64">
                  <c:v>83.176377110267055</c:v>
                </c:pt>
                <c:pt idx="65">
                  <c:v>89.125093813374562</c:v>
                </c:pt>
                <c:pt idx="66">
                  <c:v>95.49925860214357</c:v>
                </c:pt>
                <c:pt idx="67">
                  <c:v>102.32929922807544</c:v>
                </c:pt>
                <c:pt idx="68">
                  <c:v>109.64781961431841</c:v>
                </c:pt>
                <c:pt idx="69">
                  <c:v>117.48975549395293</c:v>
                </c:pt>
                <c:pt idx="70">
                  <c:v>125.89254117941665</c:v>
                </c:pt>
                <c:pt idx="71">
                  <c:v>134.89628825916537</c:v>
                </c:pt>
                <c:pt idx="72">
                  <c:v>144.54397707459273</c:v>
                </c:pt>
                <c:pt idx="73">
                  <c:v>154.88166189124806</c:v>
                </c:pt>
                <c:pt idx="74">
                  <c:v>165.95869074375608</c:v>
                </c:pt>
                <c:pt idx="75">
                  <c:v>177.82794100389225</c:v>
                </c:pt>
                <c:pt idx="76">
                  <c:v>190.54607179632481</c:v>
                </c:pt>
                <c:pt idx="77">
                  <c:v>204.17379446695278</c:v>
                </c:pt>
                <c:pt idx="78">
                  <c:v>218.77616239495524</c:v>
                </c:pt>
                <c:pt idx="79">
                  <c:v>234.42288153199212</c:v>
                </c:pt>
                <c:pt idx="80">
                  <c:v>251.18864315095806</c:v>
                </c:pt>
                <c:pt idx="81">
                  <c:v>269.15348039269156</c:v>
                </c:pt>
                <c:pt idx="82">
                  <c:v>288.4031503126605</c:v>
                </c:pt>
                <c:pt idx="83">
                  <c:v>309.02954325135909</c:v>
                </c:pt>
                <c:pt idx="84">
                  <c:v>331.13112148259108</c:v>
                </c:pt>
                <c:pt idx="85">
                  <c:v>354.81338923357566</c:v>
                </c:pt>
                <c:pt idx="86">
                  <c:v>380.18939632056095</c:v>
                </c:pt>
                <c:pt idx="87">
                  <c:v>407.38027780411232</c:v>
                </c:pt>
                <c:pt idx="88">
                  <c:v>436.51583224016542</c:v>
                </c:pt>
                <c:pt idx="89">
                  <c:v>467.73514128719791</c:v>
                </c:pt>
                <c:pt idx="90">
                  <c:v>501.18723362727184</c:v>
                </c:pt>
                <c:pt idx="91">
                  <c:v>537.03179637025255</c:v>
                </c:pt>
                <c:pt idx="92">
                  <c:v>575.43993733715661</c:v>
                </c:pt>
                <c:pt idx="93">
                  <c:v>616.59500186148216</c:v>
                </c:pt>
                <c:pt idx="94">
                  <c:v>660.69344800759518</c:v>
                </c:pt>
                <c:pt idx="95">
                  <c:v>707.94578438413748</c:v>
                </c:pt>
                <c:pt idx="96">
                  <c:v>758.57757502918309</c:v>
                </c:pt>
                <c:pt idx="97">
                  <c:v>812.8305161640983</c:v>
                </c:pt>
                <c:pt idx="98">
                  <c:v>870.96358995608011</c:v>
                </c:pt>
                <c:pt idx="99">
                  <c:v>933.25430079699026</c:v>
                </c:pt>
                <c:pt idx="100">
                  <c:v>999.99999999999977</c:v>
                </c:pt>
                <c:pt idx="101">
                  <c:v>1071.5193052376057</c:v>
                </c:pt>
                <c:pt idx="102">
                  <c:v>1148.1536214968828</c:v>
                </c:pt>
                <c:pt idx="103">
                  <c:v>1230.2687708123801</c:v>
                </c:pt>
                <c:pt idx="104">
                  <c:v>1318.2567385564053</c:v>
                </c:pt>
                <c:pt idx="105">
                  <c:v>1412.5375446227531</c:v>
                </c:pt>
                <c:pt idx="106">
                  <c:v>1513.5612484362066</c:v>
                </c:pt>
                <c:pt idx="107">
                  <c:v>1621.8100973589292</c:v>
                </c:pt>
                <c:pt idx="108">
                  <c:v>1737.8008287493742</c:v>
                </c:pt>
                <c:pt idx="109">
                  <c:v>1862.0871366628671</c:v>
                </c:pt>
                <c:pt idx="110">
                  <c:v>1995.2623149688786</c:v>
                </c:pt>
                <c:pt idx="111">
                  <c:v>2137.9620895022326</c:v>
                </c:pt>
                <c:pt idx="112">
                  <c:v>2290.8676527677708</c:v>
                </c:pt>
                <c:pt idx="113">
                  <c:v>2454.708915685027</c:v>
                </c:pt>
                <c:pt idx="114">
                  <c:v>2630.26799189538</c:v>
                </c:pt>
                <c:pt idx="115">
                  <c:v>2818.3829312644511</c:v>
                </c:pt>
                <c:pt idx="116">
                  <c:v>3019.9517204020176</c:v>
                </c:pt>
                <c:pt idx="117">
                  <c:v>3235.9365692962774</c:v>
                </c:pt>
                <c:pt idx="118">
                  <c:v>3467.368504525316</c:v>
                </c:pt>
                <c:pt idx="119">
                  <c:v>3715.352290971724</c:v>
                </c:pt>
                <c:pt idx="120">
                  <c:v>3981.0717055349701</c:v>
                </c:pt>
                <c:pt idx="121">
                  <c:v>4265.7951880159226</c:v>
                </c:pt>
                <c:pt idx="122">
                  <c:v>4570.881896148745</c:v>
                </c:pt>
                <c:pt idx="123">
                  <c:v>4897.7881936844633</c:v>
                </c:pt>
                <c:pt idx="124">
                  <c:v>5248.0746024977261</c:v>
                </c:pt>
                <c:pt idx="125">
                  <c:v>5623.4132519034893</c:v>
                </c:pt>
                <c:pt idx="126">
                  <c:v>6025.5958607435741</c:v>
                </c:pt>
                <c:pt idx="127">
                  <c:v>6456.5422903465496</c:v>
                </c:pt>
                <c:pt idx="128">
                  <c:v>6918.3097091893569</c:v>
                </c:pt>
                <c:pt idx="129">
                  <c:v>7413.1024130091646</c:v>
                </c:pt>
                <c:pt idx="130">
                  <c:v>7943.2823472428154</c:v>
                </c:pt>
                <c:pt idx="131">
                  <c:v>8511.3803820237626</c:v>
                </c:pt>
                <c:pt idx="132">
                  <c:v>9120.1083935590923</c:v>
                </c:pt>
                <c:pt idx="133">
                  <c:v>9772.3722095580997</c:v>
                </c:pt>
                <c:pt idx="134">
                  <c:v>10471.285480509003</c:v>
                </c:pt>
                <c:pt idx="135">
                  <c:v>11220.184543019639</c:v>
                </c:pt>
                <c:pt idx="136">
                  <c:v>12022.644346174109</c:v>
                </c:pt>
                <c:pt idx="137">
                  <c:v>12882.495516931338</c:v>
                </c:pt>
                <c:pt idx="138">
                  <c:v>13803.842646028841</c:v>
                </c:pt>
                <c:pt idx="139">
                  <c:v>14791.083881682063</c:v>
                </c:pt>
                <c:pt idx="140">
                  <c:v>15848.931924611119</c:v>
                </c:pt>
                <c:pt idx="141">
                  <c:v>16982.436524617453</c:v>
                </c:pt>
                <c:pt idx="142">
                  <c:v>18197.008586099837</c:v>
                </c:pt>
                <c:pt idx="143">
                  <c:v>19498.445997580417</c:v>
                </c:pt>
                <c:pt idx="144">
                  <c:v>20892.961308540387</c:v>
                </c:pt>
                <c:pt idx="145">
                  <c:v>22387.211385683382</c:v>
                </c:pt>
                <c:pt idx="146">
                  <c:v>23988.32919019488</c:v>
                </c:pt>
                <c:pt idx="147">
                  <c:v>25703.957827688606</c:v>
                </c:pt>
                <c:pt idx="148">
                  <c:v>27542.287033381672</c:v>
                </c:pt>
                <c:pt idx="149">
                  <c:v>29512.092266663854</c:v>
                </c:pt>
                <c:pt idx="150">
                  <c:v>31622.776601683781</c:v>
                </c:pt>
                <c:pt idx="151">
                  <c:v>33884.415613920231</c:v>
                </c:pt>
                <c:pt idx="152">
                  <c:v>36307.805477010166</c:v>
                </c:pt>
                <c:pt idx="153">
                  <c:v>38904.514499428085</c:v>
                </c:pt>
                <c:pt idx="154">
                  <c:v>41686.93834703348</c:v>
                </c:pt>
                <c:pt idx="155">
                  <c:v>44668.359215096309</c:v>
                </c:pt>
                <c:pt idx="156">
                  <c:v>47863.009232263823</c:v>
                </c:pt>
                <c:pt idx="157">
                  <c:v>51286.138399136456</c:v>
                </c:pt>
                <c:pt idx="158">
                  <c:v>54954.08738576241</c:v>
                </c:pt>
                <c:pt idx="159">
                  <c:v>58884.365535558936</c:v>
                </c:pt>
                <c:pt idx="160">
                  <c:v>63095.734448019342</c:v>
                </c:pt>
                <c:pt idx="161">
                  <c:v>67608.297539198174</c:v>
                </c:pt>
                <c:pt idx="162">
                  <c:v>72443.596007498985</c:v>
                </c:pt>
                <c:pt idx="163">
                  <c:v>77624.711662869129</c:v>
                </c:pt>
                <c:pt idx="164">
                  <c:v>83176.377110267029</c:v>
                </c:pt>
                <c:pt idx="165">
                  <c:v>89125.093813374449</c:v>
                </c:pt>
                <c:pt idx="166">
                  <c:v>95499.258602143629</c:v>
                </c:pt>
                <c:pt idx="167">
                  <c:v>102329.29922807543</c:v>
                </c:pt>
                <c:pt idx="168">
                  <c:v>109647.81961431848</c:v>
                </c:pt>
                <c:pt idx="169">
                  <c:v>117489.75549395289</c:v>
                </c:pt>
                <c:pt idx="170">
                  <c:v>125892.54117941685</c:v>
                </c:pt>
                <c:pt idx="171">
                  <c:v>134896.28825916522</c:v>
                </c:pt>
                <c:pt idx="172">
                  <c:v>144543.97707459255</c:v>
                </c:pt>
                <c:pt idx="173">
                  <c:v>154881.66189124787</c:v>
                </c:pt>
                <c:pt idx="174">
                  <c:v>165958.69074375575</c:v>
                </c:pt>
                <c:pt idx="175">
                  <c:v>177827.94100389219</c:v>
                </c:pt>
                <c:pt idx="176">
                  <c:v>190546.07179632425</c:v>
                </c:pt>
                <c:pt idx="177">
                  <c:v>204173.79446695274</c:v>
                </c:pt>
                <c:pt idx="178">
                  <c:v>218776.16239495497</c:v>
                </c:pt>
                <c:pt idx="179">
                  <c:v>234422.88153199226</c:v>
                </c:pt>
                <c:pt idx="180">
                  <c:v>251188.64315095753</c:v>
                </c:pt>
                <c:pt idx="181">
                  <c:v>269153.48039269098</c:v>
                </c:pt>
                <c:pt idx="182">
                  <c:v>288403.15031266044</c:v>
                </c:pt>
                <c:pt idx="183">
                  <c:v>309029.54325135821</c:v>
                </c:pt>
                <c:pt idx="184">
                  <c:v>331131.12148259068</c:v>
                </c:pt>
                <c:pt idx="185">
                  <c:v>354813.38923357491</c:v>
                </c:pt>
                <c:pt idx="186">
                  <c:v>380189.39632056118</c:v>
                </c:pt>
                <c:pt idx="187">
                  <c:v>407380.27780411189</c:v>
                </c:pt>
                <c:pt idx="188">
                  <c:v>436515.83224016492</c:v>
                </c:pt>
                <c:pt idx="189">
                  <c:v>467735.14128719777</c:v>
                </c:pt>
                <c:pt idx="190">
                  <c:v>501187.23362727172</c:v>
                </c:pt>
                <c:pt idx="191">
                  <c:v>537031.79637025192</c:v>
                </c:pt>
                <c:pt idx="192">
                  <c:v>575439.93733715592</c:v>
                </c:pt>
                <c:pt idx="193">
                  <c:v>616595.00186148204</c:v>
                </c:pt>
                <c:pt idx="194">
                  <c:v>660693.44800759444</c:v>
                </c:pt>
                <c:pt idx="195">
                  <c:v>707945.78438413737</c:v>
                </c:pt>
                <c:pt idx="196">
                  <c:v>758577.57502918295</c:v>
                </c:pt>
                <c:pt idx="197">
                  <c:v>812830.51616409956</c:v>
                </c:pt>
                <c:pt idx="198">
                  <c:v>870963.58995607914</c:v>
                </c:pt>
                <c:pt idx="199">
                  <c:v>933254.30079698924</c:v>
                </c:pt>
              </c:numCache>
            </c:numRef>
          </c:xVal>
          <c:yVal>
            <c:numRef>
              <c:f>'9. Loop Compensation'!$AQ$2:$AQ$201</c:f>
              <c:numCache>
                <c:formatCode>General</c:formatCode>
                <c:ptCount val="200"/>
                <c:pt idx="0">
                  <c:v>176.3117203906462</c:v>
                </c:pt>
                <c:pt idx="1">
                  <c:v>176.04877932845531</c:v>
                </c:pt>
                <c:pt idx="2">
                  <c:v>175.76722598006512</c:v>
                </c:pt>
                <c:pt idx="3">
                  <c:v>175.46577332193465</c:v>
                </c:pt>
                <c:pt idx="4">
                  <c:v>175.14305230039704</c:v>
                </c:pt>
                <c:pt idx="5">
                  <c:v>174.79760821394569</c:v>
                </c:pt>
                <c:pt idx="6">
                  <c:v>174.42789733135172</c:v>
                </c:pt>
                <c:pt idx="7">
                  <c:v>174.03228386701264</c:v>
                </c:pt>
                <c:pt idx="8">
                  <c:v>173.60903746398344</c:v>
                </c:pt>
                <c:pt idx="9">
                  <c:v>173.15633136954196</c:v>
                </c:pt>
                <c:pt idx="10">
                  <c:v>172.67224152847302</c:v>
                </c:pt>
                <c:pt idx="11">
                  <c:v>172.15474686605009</c:v>
                </c:pt>
                <c:pt idx="12">
                  <c:v>171.60173108624858</c:v>
                </c:pt>
                <c:pt idx="13">
                  <c:v>171.01098637105636</c:v>
                </c:pt>
                <c:pt idx="14">
                  <c:v>170.38021943332592</c:v>
                </c:pt>
                <c:pt idx="15">
                  <c:v>169.70706044716175</c:v>
                </c:pt>
                <c:pt idx="16">
                  <c:v>168.98907545398913</c:v>
                </c:pt>
                <c:pt idx="17">
                  <c:v>168.22378291533596</c:v>
                </c:pt>
                <c:pt idx="18">
                  <c:v>167.40867514915269</c:v>
                </c:pt>
                <c:pt idx="19">
                  <c:v>166.5412454368539</c:v>
                </c:pt>
                <c:pt idx="20">
                  <c:v>165.61902161184241</c:v>
                </c:pt>
                <c:pt idx="21">
                  <c:v>164.63960692223634</c:v>
                </c:pt>
                <c:pt idx="22">
                  <c:v>163.60072888241933</c:v>
                </c:pt>
                <c:pt idx="23">
                  <c:v>162.50029666802394</c:v>
                </c:pt>
                <c:pt idx="24">
                  <c:v>161.33646734292032</c:v>
                </c:pt>
                <c:pt idx="25">
                  <c:v>160.10772081044115</c:v>
                </c:pt>
                <c:pt idx="26">
                  <c:v>158.81294283368442</c:v>
                </c:pt>
                <c:pt idx="27">
                  <c:v>157.45151475950567</c:v>
                </c:pt>
                <c:pt idx="28">
                  <c:v>156.02340771203637</c:v>
                </c:pt>
                <c:pt idx="29">
                  <c:v>154.52927802303998</c:v>
                </c:pt>
                <c:pt idx="30">
                  <c:v>152.9705595997799</c:v>
                </c:pt>
                <c:pt idx="31">
                  <c:v>151.34954789697966</c:v>
                </c:pt>
                <c:pt idx="32">
                  <c:v>149.66946929837684</c:v>
                </c:pt>
                <c:pt idx="33">
                  <c:v>147.93452919764468</c:v>
                </c:pt>
                <c:pt idx="34">
                  <c:v>146.14993208256848</c:v>
                </c:pt>
                <c:pt idx="35">
                  <c:v>144.32186763478322</c:v>
                </c:pt>
                <c:pt idx="36">
                  <c:v>142.45745836288003</c:v>
                </c:pt>
                <c:pt idx="37">
                  <c:v>140.5646665871146</c:v>
                </c:pt>
                <c:pt idx="38">
                  <c:v>138.65216154970346</c:v>
                </c:pt>
                <c:pt idx="39">
                  <c:v>136.72915075053899</c:v>
                </c:pt>
                <c:pt idx="40">
                  <c:v>134.80518289987631</c:v>
                </c:pt>
                <c:pt idx="41">
                  <c:v>132.88993267696634</c:v>
                </c:pt>
                <c:pt idx="42">
                  <c:v>130.99297935905207</c:v>
                </c:pt>
                <c:pt idx="43">
                  <c:v>129.12359203606971</c:v>
                </c:pt>
                <c:pt idx="44">
                  <c:v>127.29053344501315</c:v>
                </c:pt>
                <c:pt idx="45">
                  <c:v>125.50189255706498</c:v>
                </c:pt>
                <c:pt idx="46">
                  <c:v>123.76495323666258</c:v>
                </c:pt>
                <c:pt idx="47">
                  <c:v>122.0861029941734</c:v>
                </c:pt>
                <c:pt idx="48">
                  <c:v>120.47078253258884</c:v>
                </c:pt>
                <c:pt idx="49">
                  <c:v>118.92347384559059</c:v>
                </c:pt>
                <c:pt idx="50">
                  <c:v>117.44772234148182</c:v>
                </c:pt>
                <c:pt idx="51">
                  <c:v>116.04618698086337</c:v>
                </c:pt>
                <c:pt idx="52">
                  <c:v>114.72071172487759</c:v>
                </c:pt>
                <c:pt idx="53">
                  <c:v>113.47241159045846</c:v>
                </c:pt>
                <c:pt idx="54">
                  <c:v>112.30176713393887</c:v>
                </c:pt>
                <c:pt idx="55">
                  <c:v>111.20872204992858</c:v>
                </c:pt>
                <c:pt idx="56">
                  <c:v>110.19277960674587</c:v>
                </c:pt>
                <c:pt idx="57">
                  <c:v>109.25309470314697</c:v>
                </c:pt>
                <c:pt idx="58">
                  <c:v>108.38855932381176</c:v>
                </c:pt>
                <c:pt idx="59">
                  <c:v>107.59788003207562</c:v>
                </c:pt>
                <c:pt idx="60">
                  <c:v>106.87964683937636</c:v>
                </c:pt>
                <c:pt idx="61">
                  <c:v>106.23239332780862</c:v>
                </c:pt>
                <c:pt idx="62">
                  <c:v>105.65464828678449</c:v>
                </c:pt>
                <c:pt idx="63">
                  <c:v>105.1449793776776</c:v>
                </c:pt>
                <c:pt idx="64">
                  <c:v>104.7020294853652</c:v>
                </c:pt>
                <c:pt idx="65">
                  <c:v>104.32454647645204</c:v>
                </c:pt>
                <c:pt idx="66">
                  <c:v>104.01140708190761</c:v>
                </c:pt>
                <c:pt idx="67">
                  <c:v>103.76163557468952</c:v>
                </c:pt>
                <c:pt idx="68">
                  <c:v>103.57441783481443</c:v>
                </c:pt>
                <c:pt idx="69">
                  <c:v>103.4491112959</c:v>
                </c:pt>
                <c:pt idx="70">
                  <c:v>103.38525115611942</c:v>
                </c:pt>
                <c:pt idx="71">
                  <c:v>103.38255311798407</c:v>
                </c:pt>
                <c:pt idx="72">
                  <c:v>103.44091279884859</c:v>
                </c:pt>
                <c:pt idx="73">
                  <c:v>103.56040182968921</c:v>
                </c:pt>
                <c:pt idx="74">
                  <c:v>103.7412605351286</c:v>
                </c:pt>
                <c:pt idx="75">
                  <c:v>103.98388696430334</c:v>
                </c:pt>
                <c:pt idx="76">
                  <c:v>104.28882192191469</c:v>
                </c:pt>
                <c:pt idx="77">
                  <c:v>104.65672953459284</c:v>
                </c:pt>
                <c:pt idx="78">
                  <c:v>105.08837278403951</c:v>
                </c:pt>
                <c:pt idx="79">
                  <c:v>105.5845833520282</c:v>
                </c:pt>
                <c:pt idx="80">
                  <c:v>106.14622506274972</c:v>
                </c:pt>
                <c:pt idx="81">
                  <c:v>106.7741501880506</c:v>
                </c:pt>
                <c:pt idx="82">
                  <c:v>107.46914791734581</c:v>
                </c:pt>
                <c:pt idx="83">
                  <c:v>108.23188440650107</c:v>
                </c:pt>
                <c:pt idx="84">
                  <c:v>109.06283403179448</c:v>
                </c:pt>
                <c:pt idx="85">
                  <c:v>109.96220181038778</c:v>
                </c:pt>
                <c:pt idx="86">
                  <c:v>110.92983742990231</c:v>
                </c:pt>
                <c:pt idx="87">
                  <c:v>111.96514197248966</c:v>
                </c:pt>
                <c:pt idx="88">
                  <c:v>113.06696922587959</c:v>
                </c:pt>
                <c:pt idx="89">
                  <c:v>114.23352442682567</c:v>
                </c:pt>
                <c:pt idx="90">
                  <c:v>115.46226433303947</c:v>
                </c:pt>
                <c:pt idx="91">
                  <c:v>116.74980358289618</c:v>
                </c:pt>
                <c:pt idx="92">
                  <c:v>118.09183325249552</c:v>
                </c:pt>
                <c:pt idx="93">
                  <c:v>119.48305819542603</c:v>
                </c:pt>
                <c:pt idx="94">
                  <c:v>120.91715996907755</c:v>
                </c:pt>
                <c:pt idx="95">
                  <c:v>122.38679173612266</c:v>
                </c:pt>
                <c:pt idx="96">
                  <c:v>123.88361034937999</c:v>
                </c:pt>
                <c:pt idx="97">
                  <c:v>125.39834884015269</c:v>
                </c:pt>
                <c:pt idx="98">
                  <c:v>126.92092981886813</c:v>
                </c:pt>
                <c:pt idx="99">
                  <c:v>128.44061709328886</c:v>
                </c:pt>
                <c:pt idx="100">
                  <c:v>129.94619947830111</c:v>
                </c:pt>
                <c:pt idx="101">
                  <c:v>131.42619776100986</c:v>
                </c:pt>
                <c:pt idx="102">
                  <c:v>132.86908354772322</c:v>
                </c:pt>
                <c:pt idx="103">
                  <c:v>134.26349761662732</c:v>
                </c:pt>
                <c:pt idx="104">
                  <c:v>135.59845562051322</c:v>
                </c:pt>
                <c:pt idx="105">
                  <c:v>136.86353049967815</c:v>
                </c:pt>
                <c:pt idx="106">
                  <c:v>138.04900353756074</c:v>
                </c:pt>
                <c:pt idx="107">
                  <c:v>139.14597922745514</c:v>
                </c:pt>
                <c:pt idx="108">
                  <c:v>140.14646255658758</c:v>
                </c:pt>
                <c:pt idx="109">
                  <c:v>141.04340051753664</c:v>
                </c:pt>
                <c:pt idx="110">
                  <c:v>141.83069228843857</c:v>
                </c:pt>
                <c:pt idx="111">
                  <c:v>142.50317438275485</c:v>
                </c:pt>
                <c:pt idx="112">
                  <c:v>143.05658809787329</c:v>
                </c:pt>
                <c:pt idx="113">
                  <c:v>143.48753684609952</c:v>
                </c:pt>
                <c:pt idx="114">
                  <c:v>143.79344056245262</c:v>
                </c:pt>
                <c:pt idx="115">
                  <c:v>143.97249351253703</c:v>
                </c:pt>
                <c:pt idx="116">
                  <c:v>144.02363062721346</c:v>
                </c:pt>
                <c:pt idx="117">
                  <c:v>143.94650609772916</c:v>
                </c:pt>
                <c:pt idx="118">
                  <c:v>143.74148646756061</c:v>
                </c:pt>
                <c:pt idx="119">
                  <c:v>143.40965891338246</c:v>
                </c:pt>
                <c:pt idx="120">
                  <c:v>142.95285385183178</c:v>
                </c:pt>
                <c:pt idx="121">
                  <c:v>142.37367946798761</c:v>
                </c:pt>
                <c:pt idx="122">
                  <c:v>141.67556427209576</c:v>
                </c:pt>
                <c:pt idx="123">
                  <c:v>140.86280241430791</c:v>
                </c:pt>
                <c:pt idx="124">
                  <c:v>139.94059531926945</c:v>
                </c:pt>
                <c:pt idx="125">
                  <c:v>138.91508237593339</c:v>
                </c:pt>
                <c:pt idx="126">
                  <c:v>137.79335309142394</c:v>
                </c:pt>
                <c:pt idx="127">
                  <c:v>136.58343345118413</c:v>
                </c:pt>
                <c:pt idx="128">
                  <c:v>135.29424034583568</c:v>
                </c:pt>
                <c:pt idx="129">
                  <c:v>133.93549987407124</c:v>
                </c:pt>
                <c:pt idx="130">
                  <c:v>132.51762803718665</c:v>
                </c:pt>
                <c:pt idx="131">
                  <c:v>131.05157558879102</c:v>
                </c:pt>
                <c:pt idx="132">
                  <c:v>129.54864224149566</c:v>
                </c:pt>
                <c:pt idx="133">
                  <c:v>128.02026861772731</c:v>
                </c:pt>
                <c:pt idx="134">
                  <c:v>126.4778168058875</c:v>
                </c:pt>
                <c:pt idx="135">
                  <c:v>124.93235176553908</c:v>
                </c:pt>
                <c:pt idx="136">
                  <c:v>123.39443589871111</c:v>
                </c:pt>
                <c:pt idx="137">
                  <c:v>121.8739478649799</c:v>
                </c:pt>
                <c:pt idx="138">
                  <c:v>120.37993437649978</c:v>
                </c:pt>
                <c:pt idx="139">
                  <c:v>118.92050064124503</c:v>
                </c:pt>
                <c:pt idx="140">
                  <c:v>117.50274178468105</c:v>
                </c:pt>
                <c:pt idx="141">
                  <c:v>116.13271441491555</c:v>
                </c:pt>
                <c:pt idx="142">
                  <c:v>114.81544485585995</c:v>
                </c:pt>
                <c:pt idx="143">
                  <c:v>113.55496867187074</c:v>
                </c:pt>
                <c:pt idx="144">
                  <c:v>112.35439501511476</c:v>
                </c:pt>
                <c:pt idx="145">
                  <c:v>111.21598898918457</c:v>
                </c:pt>
                <c:pt idx="146">
                  <c:v>110.14126550083871</c:v>
                </c:pt>
                <c:pt idx="147">
                  <c:v>109.13108878738558</c:v>
                </c:pt>
                <c:pt idx="148">
                  <c:v>108.18577277860216</c:v>
                </c:pt>
                <c:pt idx="149">
                  <c:v>107.30517852116691</c:v>
                </c:pt>
                <c:pt idx="150">
                  <c:v>106.48880593928989</c:v>
                </c:pt>
                <c:pt idx="151">
                  <c:v>105.73587814683424</c:v>
                </c:pt>
                <c:pt idx="152">
                  <c:v>105.0454173193191</c:v>
                </c:pt>
                <c:pt idx="153">
                  <c:v>104.41631176322137</c:v>
                </c:pt>
                <c:pt idx="154">
                  <c:v>103.84737428955489</c:v>
                </c:pt>
                <c:pt idx="155">
                  <c:v>103.33739232579023</c:v>
                </c:pt>
                <c:pt idx="156">
                  <c:v>102.88517040771234</c:v>
                </c:pt>
                <c:pt idx="157">
                  <c:v>102.48956580525466</c:v>
                </c:pt>
                <c:pt idx="158">
                  <c:v>102.1495180766924</c:v>
                </c:pt>
                <c:pt idx="159">
                  <c:v>101.86407333385532</c:v>
                </c:pt>
                <c:pt idx="160">
                  <c:v>101.63240395361672</c:v>
                </c:pt>
                <c:pt idx="161">
                  <c:v>101.45382440056342</c:v>
                </c:pt>
                <c:pt idx="162">
                  <c:v>101.32780374187298</c:v>
                </c:pt>
                <c:pt idx="163">
                  <c:v>101.25397534458604</c:v>
                </c:pt>
                <c:pt idx="164">
                  <c:v>101.23214415195673</c:v>
                </c:pt>
                <c:pt idx="165">
                  <c:v>101.26229184189015</c:v>
                </c:pt>
                <c:pt idx="166">
                  <c:v>101.34458007781662</c:v>
                </c:pt>
                <c:pt idx="167">
                  <c:v>101.47935197094945</c:v>
                </c:pt>
                <c:pt idx="168">
                  <c:v>101.66713178235928</c:v>
                </c:pt>
                <c:pt idx="169">
                  <c:v>101.90862280299994</c:v>
                </c:pt>
                <c:pt idx="170">
                  <c:v>102.2047032589708</c:v>
                </c:pt>
                <c:pt idx="171">
                  <c:v>102.55641999733866</c:v>
                </c:pt>
                <c:pt idx="172">
                  <c:v>102.96497961464688</c:v>
                </c:pt>
                <c:pt idx="173">
                  <c:v>103.4317365964323</c:v>
                </c:pt>
                <c:pt idx="174">
                  <c:v>103.95817794340167</c:v>
                </c:pt>
                <c:pt idx="175">
                  <c:v>104.54590367163873</c:v>
                </c:pt>
                <c:pt idx="176">
                  <c:v>105.19660249560548</c:v>
                </c:pt>
                <c:pt idx="177">
                  <c:v>105.91202194157788</c:v>
                </c:pt>
                <c:pt idx="178">
                  <c:v>106.69393210640989</c:v>
                </c:pt>
                <c:pt idx="179">
                  <c:v>107.54408228653128</c:v>
                </c:pt>
                <c:pt idx="180">
                  <c:v>108.46414977295102</c:v>
                </c:pt>
                <c:pt idx="181">
                  <c:v>109.45568026125754</c:v>
                </c:pt>
                <c:pt idx="182">
                  <c:v>110.52001958507329</c:v>
                </c:pt>
                <c:pt idx="183">
                  <c:v>111.65823687129382</c:v>
                </c:pt>
                <c:pt idx="184">
                  <c:v>112.87103975646248</c:v>
                </c:pt>
                <c:pt idx="185">
                  <c:v>114.15868300784675</c:v>
                </c:pt>
                <c:pt idx="186">
                  <c:v>115.52087275635088</c:v>
                </c:pt>
                <c:pt idx="187">
                  <c:v>116.95666954324714</c:v>
                </c:pt>
                <c:pt idx="188">
                  <c:v>118.464394448158</c:v>
                </c:pt>
                <c:pt idx="189">
                  <c:v>120.04154360219756</c:v>
                </c:pt>
                <c:pt idx="190">
                  <c:v>121.68471725821082</c:v>
                </c:pt>
                <c:pt idx="191">
                  <c:v>123.38957011797658</c:v>
                </c:pt>
                <c:pt idx="192">
                  <c:v>125.15078961944721</c:v>
                </c:pt>
                <c:pt idx="193">
                  <c:v>126.96210820007384</c:v>
                </c:pt>
                <c:pt idx="194">
                  <c:v>128.81635406983168</c:v>
                </c:pt>
                <c:pt idx="195">
                  <c:v>130.70554274844761</c:v>
                </c:pt>
                <c:pt idx="196">
                  <c:v>132.62100868099822</c:v>
                </c:pt>
                <c:pt idx="197">
                  <c:v>134.55357292589727</c:v>
                </c:pt>
                <c:pt idx="198">
                  <c:v>136.49373961081815</c:v>
                </c:pt>
                <c:pt idx="199">
                  <c:v>138.43191103514837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1282480"/>
        <c:axId val="641283264"/>
      </c:scatterChart>
      <c:valAx>
        <c:axId val="641282480"/>
        <c:scaling>
          <c:logBase val="10"/>
          <c:orientation val="minMax"/>
          <c:min val="10"/>
        </c:scaling>
        <c:delete val="0"/>
        <c:axPos val="b"/>
        <c:minorGridlines/>
        <c:numFmt formatCode="General" sourceLinked="1"/>
        <c:majorTickMark val="out"/>
        <c:minorTickMark val="none"/>
        <c:tickLblPos val="nextTo"/>
        <c:crossAx val="641283264"/>
        <c:crosses val="autoZero"/>
        <c:crossBetween val="midCat"/>
      </c:valAx>
      <c:valAx>
        <c:axId val="641283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12824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|Verr</a:t>
            </a:r>
            <a:r>
              <a:rPr lang="en-US" baseline="0"/>
              <a:t> / Vout|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'9. Loop Compensation'!$AR$1</c:f>
              <c:strCache>
                <c:ptCount val="1"/>
                <c:pt idx="0">
                  <c:v>db</c:v>
                </c:pt>
              </c:strCache>
            </c:strRef>
          </c:tx>
          <c:marker>
            <c:symbol val="none"/>
          </c:marker>
          <c:xVal>
            <c:numRef>
              <c:f>'9. Loop Compensation'!$Z$2:$Z$200</c:f>
              <c:numCache>
                <c:formatCode>General</c:formatCode>
                <c:ptCount val="199"/>
                <c:pt idx="0">
                  <c:v>1</c:v>
                </c:pt>
                <c:pt idx="1">
                  <c:v>1.0715193052376064</c:v>
                </c:pt>
                <c:pt idx="2">
                  <c:v>1.1481536214968828</c:v>
                </c:pt>
                <c:pt idx="3">
                  <c:v>1.2302687708123814</c:v>
                </c:pt>
                <c:pt idx="4">
                  <c:v>1.318256738556407</c:v>
                </c:pt>
                <c:pt idx="5">
                  <c:v>1.4125375446227544</c:v>
                </c:pt>
                <c:pt idx="6">
                  <c:v>1.513561248436208</c:v>
                </c:pt>
                <c:pt idx="7">
                  <c:v>1.6218100973589298</c:v>
                </c:pt>
                <c:pt idx="8">
                  <c:v>1.7378008287493754</c:v>
                </c:pt>
                <c:pt idx="9">
                  <c:v>1.8620871366628673</c:v>
                </c:pt>
                <c:pt idx="10">
                  <c:v>1.9952623149688797</c:v>
                </c:pt>
                <c:pt idx="11">
                  <c:v>2.1379620895022318</c:v>
                </c:pt>
                <c:pt idx="12">
                  <c:v>2.2908676527677727</c:v>
                </c:pt>
                <c:pt idx="13">
                  <c:v>2.4547089156850301</c:v>
                </c:pt>
                <c:pt idx="14">
                  <c:v>2.6302679918953817</c:v>
                </c:pt>
                <c:pt idx="15">
                  <c:v>2.8183829312644537</c:v>
                </c:pt>
                <c:pt idx="16">
                  <c:v>3.0199517204020156</c:v>
                </c:pt>
                <c:pt idx="17">
                  <c:v>3.2359365692962818</c:v>
                </c:pt>
                <c:pt idx="18">
                  <c:v>3.4673685045253162</c:v>
                </c:pt>
                <c:pt idx="19">
                  <c:v>3.7153522909717256</c:v>
                </c:pt>
                <c:pt idx="20">
                  <c:v>3.9810717055349727</c:v>
                </c:pt>
                <c:pt idx="21">
                  <c:v>4.2657951880159262</c:v>
                </c:pt>
                <c:pt idx="22">
                  <c:v>4.570881896148749</c:v>
                </c:pt>
                <c:pt idx="23">
                  <c:v>4.8977881936844616</c:v>
                </c:pt>
                <c:pt idx="24">
                  <c:v>5.2480746024977245</c:v>
                </c:pt>
                <c:pt idx="25">
                  <c:v>5.6234132519034903</c:v>
                </c:pt>
                <c:pt idx="26">
                  <c:v>6.0255958607435751</c:v>
                </c:pt>
                <c:pt idx="27">
                  <c:v>6.4565422903465537</c:v>
                </c:pt>
                <c:pt idx="28">
                  <c:v>6.9183097091893631</c:v>
                </c:pt>
                <c:pt idx="29">
                  <c:v>7.4131024130091765</c:v>
                </c:pt>
                <c:pt idx="30">
                  <c:v>7.943282347242814</c:v>
                </c:pt>
                <c:pt idx="31">
                  <c:v>8.5113803820237646</c:v>
                </c:pt>
                <c:pt idx="32">
                  <c:v>9.1201083935590948</c:v>
                </c:pt>
                <c:pt idx="33">
                  <c:v>9.7723722095581049</c:v>
                </c:pt>
                <c:pt idx="34">
                  <c:v>10.471285480508991</c:v>
                </c:pt>
                <c:pt idx="35">
                  <c:v>11.220184543019631</c:v>
                </c:pt>
                <c:pt idx="36">
                  <c:v>12.022644346174127</c:v>
                </c:pt>
                <c:pt idx="37">
                  <c:v>12.882495516931341</c:v>
                </c:pt>
                <c:pt idx="38">
                  <c:v>13.803842646028851</c:v>
                </c:pt>
                <c:pt idx="39">
                  <c:v>14.791083881682074</c:v>
                </c:pt>
                <c:pt idx="40">
                  <c:v>15.848931924611136</c:v>
                </c:pt>
                <c:pt idx="41">
                  <c:v>16.982436524617441</c:v>
                </c:pt>
                <c:pt idx="42">
                  <c:v>18.197008586099834</c:v>
                </c:pt>
                <c:pt idx="43">
                  <c:v>19.498445997580447</c:v>
                </c:pt>
                <c:pt idx="44">
                  <c:v>20.892961308540382</c:v>
                </c:pt>
                <c:pt idx="45">
                  <c:v>22.387211385683386</c:v>
                </c:pt>
                <c:pt idx="46">
                  <c:v>23.988329190194897</c:v>
                </c:pt>
                <c:pt idx="47">
                  <c:v>25.703957827688622</c:v>
                </c:pt>
                <c:pt idx="48">
                  <c:v>27.542287033381651</c:v>
                </c:pt>
                <c:pt idx="49">
                  <c:v>29.512092266663849</c:v>
                </c:pt>
                <c:pt idx="50">
                  <c:v>31.622776601683789</c:v>
                </c:pt>
                <c:pt idx="51">
                  <c:v>33.884415613920254</c:v>
                </c:pt>
                <c:pt idx="52">
                  <c:v>36.307805477010106</c:v>
                </c:pt>
                <c:pt idx="53">
                  <c:v>38.904514499428039</c:v>
                </c:pt>
                <c:pt idx="54">
                  <c:v>41.686938347033525</c:v>
                </c:pt>
                <c:pt idx="55">
                  <c:v>44.668359215096302</c:v>
                </c:pt>
                <c:pt idx="56">
                  <c:v>47.863009232263813</c:v>
                </c:pt>
                <c:pt idx="57">
                  <c:v>51.286138399136469</c:v>
                </c:pt>
                <c:pt idx="58">
                  <c:v>54.95408738576247</c:v>
                </c:pt>
                <c:pt idx="59">
                  <c:v>58.884365535558892</c:v>
                </c:pt>
                <c:pt idx="60">
                  <c:v>63.095734448019307</c:v>
                </c:pt>
                <c:pt idx="61">
                  <c:v>67.608297539198134</c:v>
                </c:pt>
                <c:pt idx="62">
                  <c:v>72.443596007499011</c:v>
                </c:pt>
                <c:pt idx="63">
                  <c:v>77.624711662869146</c:v>
                </c:pt>
                <c:pt idx="64">
                  <c:v>83.176377110267055</c:v>
                </c:pt>
                <c:pt idx="65">
                  <c:v>89.125093813374562</c:v>
                </c:pt>
                <c:pt idx="66">
                  <c:v>95.49925860214357</c:v>
                </c:pt>
                <c:pt idx="67">
                  <c:v>102.32929922807544</c:v>
                </c:pt>
                <c:pt idx="68">
                  <c:v>109.64781961431841</c:v>
                </c:pt>
                <c:pt idx="69">
                  <c:v>117.48975549395293</c:v>
                </c:pt>
                <c:pt idx="70">
                  <c:v>125.89254117941665</c:v>
                </c:pt>
                <c:pt idx="71">
                  <c:v>134.89628825916537</c:v>
                </c:pt>
                <c:pt idx="72">
                  <c:v>144.54397707459273</c:v>
                </c:pt>
                <c:pt idx="73">
                  <c:v>154.88166189124806</c:v>
                </c:pt>
                <c:pt idx="74">
                  <c:v>165.95869074375608</c:v>
                </c:pt>
                <c:pt idx="75">
                  <c:v>177.82794100389225</c:v>
                </c:pt>
                <c:pt idx="76">
                  <c:v>190.54607179632481</c:v>
                </c:pt>
                <c:pt idx="77">
                  <c:v>204.17379446695278</c:v>
                </c:pt>
                <c:pt idx="78">
                  <c:v>218.77616239495524</c:v>
                </c:pt>
                <c:pt idx="79">
                  <c:v>234.42288153199212</c:v>
                </c:pt>
                <c:pt idx="80">
                  <c:v>251.18864315095806</c:v>
                </c:pt>
                <c:pt idx="81">
                  <c:v>269.15348039269156</c:v>
                </c:pt>
                <c:pt idx="82">
                  <c:v>288.4031503126605</c:v>
                </c:pt>
                <c:pt idx="83">
                  <c:v>309.02954325135909</c:v>
                </c:pt>
                <c:pt idx="84">
                  <c:v>331.13112148259108</c:v>
                </c:pt>
                <c:pt idx="85">
                  <c:v>354.81338923357566</c:v>
                </c:pt>
                <c:pt idx="86">
                  <c:v>380.18939632056095</c:v>
                </c:pt>
                <c:pt idx="87">
                  <c:v>407.38027780411232</c:v>
                </c:pt>
                <c:pt idx="88">
                  <c:v>436.51583224016542</c:v>
                </c:pt>
                <c:pt idx="89">
                  <c:v>467.73514128719791</c:v>
                </c:pt>
                <c:pt idx="90">
                  <c:v>501.18723362727184</c:v>
                </c:pt>
                <c:pt idx="91">
                  <c:v>537.03179637025255</c:v>
                </c:pt>
                <c:pt idx="92">
                  <c:v>575.43993733715661</c:v>
                </c:pt>
                <c:pt idx="93">
                  <c:v>616.59500186148216</c:v>
                </c:pt>
                <c:pt idx="94">
                  <c:v>660.69344800759518</c:v>
                </c:pt>
                <c:pt idx="95">
                  <c:v>707.94578438413748</c:v>
                </c:pt>
                <c:pt idx="96">
                  <c:v>758.57757502918309</c:v>
                </c:pt>
                <c:pt idx="97">
                  <c:v>812.8305161640983</c:v>
                </c:pt>
                <c:pt idx="98">
                  <c:v>870.96358995608011</c:v>
                </c:pt>
                <c:pt idx="99">
                  <c:v>933.25430079699026</c:v>
                </c:pt>
                <c:pt idx="100">
                  <c:v>999.99999999999977</c:v>
                </c:pt>
                <c:pt idx="101">
                  <c:v>1071.5193052376057</c:v>
                </c:pt>
                <c:pt idx="102">
                  <c:v>1148.1536214968828</c:v>
                </c:pt>
                <c:pt idx="103">
                  <c:v>1230.2687708123801</c:v>
                </c:pt>
                <c:pt idx="104">
                  <c:v>1318.2567385564053</c:v>
                </c:pt>
                <c:pt idx="105">
                  <c:v>1412.5375446227531</c:v>
                </c:pt>
                <c:pt idx="106">
                  <c:v>1513.5612484362066</c:v>
                </c:pt>
                <c:pt idx="107">
                  <c:v>1621.8100973589292</c:v>
                </c:pt>
                <c:pt idx="108">
                  <c:v>1737.8008287493742</c:v>
                </c:pt>
                <c:pt idx="109">
                  <c:v>1862.0871366628671</c:v>
                </c:pt>
                <c:pt idx="110">
                  <c:v>1995.2623149688786</c:v>
                </c:pt>
                <c:pt idx="111">
                  <c:v>2137.9620895022326</c:v>
                </c:pt>
                <c:pt idx="112">
                  <c:v>2290.8676527677708</c:v>
                </c:pt>
                <c:pt idx="113">
                  <c:v>2454.708915685027</c:v>
                </c:pt>
                <c:pt idx="114">
                  <c:v>2630.26799189538</c:v>
                </c:pt>
                <c:pt idx="115">
                  <c:v>2818.3829312644511</c:v>
                </c:pt>
                <c:pt idx="116">
                  <c:v>3019.9517204020176</c:v>
                </c:pt>
                <c:pt idx="117">
                  <c:v>3235.9365692962774</c:v>
                </c:pt>
                <c:pt idx="118">
                  <c:v>3467.368504525316</c:v>
                </c:pt>
                <c:pt idx="119">
                  <c:v>3715.352290971724</c:v>
                </c:pt>
                <c:pt idx="120">
                  <c:v>3981.0717055349701</c:v>
                </c:pt>
                <c:pt idx="121">
                  <c:v>4265.7951880159226</c:v>
                </c:pt>
                <c:pt idx="122">
                  <c:v>4570.881896148745</c:v>
                </c:pt>
                <c:pt idx="123">
                  <c:v>4897.7881936844633</c:v>
                </c:pt>
                <c:pt idx="124">
                  <c:v>5248.0746024977261</c:v>
                </c:pt>
                <c:pt idx="125">
                  <c:v>5623.4132519034893</c:v>
                </c:pt>
                <c:pt idx="126">
                  <c:v>6025.5958607435741</c:v>
                </c:pt>
                <c:pt idx="127">
                  <c:v>6456.5422903465496</c:v>
                </c:pt>
                <c:pt idx="128">
                  <c:v>6918.3097091893569</c:v>
                </c:pt>
                <c:pt idx="129">
                  <c:v>7413.1024130091646</c:v>
                </c:pt>
                <c:pt idx="130">
                  <c:v>7943.2823472428154</c:v>
                </c:pt>
                <c:pt idx="131">
                  <c:v>8511.3803820237626</c:v>
                </c:pt>
                <c:pt idx="132">
                  <c:v>9120.1083935590923</c:v>
                </c:pt>
                <c:pt idx="133">
                  <c:v>9772.3722095580997</c:v>
                </c:pt>
                <c:pt idx="134">
                  <c:v>10471.285480509003</c:v>
                </c:pt>
                <c:pt idx="135">
                  <c:v>11220.184543019639</c:v>
                </c:pt>
                <c:pt idx="136">
                  <c:v>12022.644346174109</c:v>
                </c:pt>
                <c:pt idx="137">
                  <c:v>12882.495516931338</c:v>
                </c:pt>
                <c:pt idx="138">
                  <c:v>13803.842646028841</c:v>
                </c:pt>
                <c:pt idx="139">
                  <c:v>14791.083881682063</c:v>
                </c:pt>
                <c:pt idx="140">
                  <c:v>15848.931924611119</c:v>
                </c:pt>
                <c:pt idx="141">
                  <c:v>16982.436524617453</c:v>
                </c:pt>
                <c:pt idx="142">
                  <c:v>18197.008586099837</c:v>
                </c:pt>
                <c:pt idx="143">
                  <c:v>19498.445997580417</c:v>
                </c:pt>
                <c:pt idx="144">
                  <c:v>20892.961308540387</c:v>
                </c:pt>
                <c:pt idx="145">
                  <c:v>22387.211385683382</c:v>
                </c:pt>
                <c:pt idx="146">
                  <c:v>23988.32919019488</c:v>
                </c:pt>
                <c:pt idx="147">
                  <c:v>25703.957827688606</c:v>
                </c:pt>
                <c:pt idx="148">
                  <c:v>27542.287033381672</c:v>
                </c:pt>
                <c:pt idx="149">
                  <c:v>29512.092266663854</c:v>
                </c:pt>
                <c:pt idx="150">
                  <c:v>31622.776601683781</c:v>
                </c:pt>
                <c:pt idx="151">
                  <c:v>33884.415613920231</c:v>
                </c:pt>
                <c:pt idx="152">
                  <c:v>36307.805477010166</c:v>
                </c:pt>
                <c:pt idx="153">
                  <c:v>38904.514499428085</c:v>
                </c:pt>
                <c:pt idx="154">
                  <c:v>41686.93834703348</c:v>
                </c:pt>
                <c:pt idx="155">
                  <c:v>44668.359215096309</c:v>
                </c:pt>
                <c:pt idx="156">
                  <c:v>47863.009232263823</c:v>
                </c:pt>
                <c:pt idx="157">
                  <c:v>51286.138399136456</c:v>
                </c:pt>
                <c:pt idx="158">
                  <c:v>54954.08738576241</c:v>
                </c:pt>
                <c:pt idx="159">
                  <c:v>58884.365535558936</c:v>
                </c:pt>
                <c:pt idx="160">
                  <c:v>63095.734448019342</c:v>
                </c:pt>
                <c:pt idx="161">
                  <c:v>67608.297539198174</c:v>
                </c:pt>
                <c:pt idx="162">
                  <c:v>72443.596007498985</c:v>
                </c:pt>
                <c:pt idx="163">
                  <c:v>77624.711662869129</c:v>
                </c:pt>
                <c:pt idx="164">
                  <c:v>83176.377110267029</c:v>
                </c:pt>
                <c:pt idx="165">
                  <c:v>89125.093813374449</c:v>
                </c:pt>
                <c:pt idx="166">
                  <c:v>95499.258602143629</c:v>
                </c:pt>
                <c:pt idx="167">
                  <c:v>102329.29922807543</c:v>
                </c:pt>
                <c:pt idx="168">
                  <c:v>109647.81961431848</c:v>
                </c:pt>
                <c:pt idx="169">
                  <c:v>117489.75549395289</c:v>
                </c:pt>
                <c:pt idx="170">
                  <c:v>125892.54117941685</c:v>
                </c:pt>
                <c:pt idx="171">
                  <c:v>134896.28825916522</c:v>
                </c:pt>
                <c:pt idx="172">
                  <c:v>144543.97707459255</c:v>
                </c:pt>
                <c:pt idx="173">
                  <c:v>154881.66189124787</c:v>
                </c:pt>
                <c:pt idx="174">
                  <c:v>165958.69074375575</c:v>
                </c:pt>
                <c:pt idx="175">
                  <c:v>177827.94100389219</c:v>
                </c:pt>
                <c:pt idx="176">
                  <c:v>190546.07179632425</c:v>
                </c:pt>
                <c:pt idx="177">
                  <c:v>204173.79446695274</c:v>
                </c:pt>
                <c:pt idx="178">
                  <c:v>218776.16239495497</c:v>
                </c:pt>
                <c:pt idx="179">
                  <c:v>234422.88153199226</c:v>
                </c:pt>
                <c:pt idx="180">
                  <c:v>251188.64315095753</c:v>
                </c:pt>
                <c:pt idx="181">
                  <c:v>269153.48039269098</c:v>
                </c:pt>
                <c:pt idx="182">
                  <c:v>288403.15031266044</c:v>
                </c:pt>
                <c:pt idx="183">
                  <c:v>309029.54325135821</c:v>
                </c:pt>
                <c:pt idx="184">
                  <c:v>331131.12148259068</c:v>
                </c:pt>
                <c:pt idx="185">
                  <c:v>354813.38923357491</c:v>
                </c:pt>
                <c:pt idx="186">
                  <c:v>380189.39632056118</c:v>
                </c:pt>
                <c:pt idx="187">
                  <c:v>407380.27780411189</c:v>
                </c:pt>
                <c:pt idx="188">
                  <c:v>436515.83224016492</c:v>
                </c:pt>
                <c:pt idx="189">
                  <c:v>467735.14128719777</c:v>
                </c:pt>
                <c:pt idx="190">
                  <c:v>501187.23362727172</c:v>
                </c:pt>
                <c:pt idx="191">
                  <c:v>537031.79637025192</c:v>
                </c:pt>
                <c:pt idx="192">
                  <c:v>575439.93733715592</c:v>
                </c:pt>
                <c:pt idx="193">
                  <c:v>616595.00186148204</c:v>
                </c:pt>
                <c:pt idx="194">
                  <c:v>660693.44800759444</c:v>
                </c:pt>
                <c:pt idx="195">
                  <c:v>707945.78438413737</c:v>
                </c:pt>
                <c:pt idx="196">
                  <c:v>758577.57502918295</c:v>
                </c:pt>
                <c:pt idx="197">
                  <c:v>812830.51616409956</c:v>
                </c:pt>
                <c:pt idx="198">
                  <c:v>870963.58995607914</c:v>
                </c:pt>
              </c:numCache>
            </c:numRef>
          </c:xVal>
          <c:yVal>
            <c:numRef>
              <c:f>'9. Loop Compensation'!$AR$2:$AR$200</c:f>
              <c:numCache>
                <c:formatCode>General</c:formatCode>
                <c:ptCount val="199"/>
                <c:pt idx="0">
                  <c:v>52.324835945227271</c:v>
                </c:pt>
                <c:pt idx="1">
                  <c:v>52.322099991118293</c:v>
                </c:pt>
                <c:pt idx="2">
                  <c:v>52.318960820570879</c:v>
                </c:pt>
                <c:pt idx="3">
                  <c:v>52.315359367854455</c:v>
                </c:pt>
                <c:pt idx="4">
                  <c:v>52.31122802830545</c:v>
                </c:pt>
                <c:pt idx="5">
                  <c:v>52.306489459626249</c:v>
                </c:pt>
                <c:pt idx="6">
                  <c:v>52.30105522618048</c:v>
                </c:pt>
                <c:pt idx="7">
                  <c:v>52.294824269308364</c:v>
                </c:pt>
                <c:pt idx="8">
                  <c:v>52.287681186034966</c:v>
                </c:pt>
                <c:pt idx="9">
                  <c:v>52.279494298327336</c:v>
                </c:pt>
                <c:pt idx="10">
                  <c:v>52.270113495469445</c:v>
                </c:pt>
                <c:pt idx="11">
                  <c:v>52.259367833428485</c:v>
                </c:pt>
                <c:pt idx="12">
                  <c:v>52.247062877607</c:v>
                </c:pt>
                <c:pt idx="13">
                  <c:v>52.232977779521988</c:v>
                </c:pt>
                <c:pt idx="14">
                  <c:v>52.216862084219997</c:v>
                </c:pt>
                <c:pt idx="15">
                  <c:v>52.198432274214106</c:v>
                </c:pt>
                <c:pt idx="16">
                  <c:v>52.177368068097394</c:v>
                </c:pt>
                <c:pt idx="17">
                  <c:v>52.153308508489651</c:v>
                </c:pt>
                <c:pt idx="18">
                  <c:v>52.125847895398692</c:v>
                </c:pt>
                <c:pt idx="19">
                  <c:v>52.094531648157734</c:v>
                </c:pt>
                <c:pt idx="20">
                  <c:v>52.058852212431646</c:v>
                </c:pt>
                <c:pt idx="21">
                  <c:v>52.018245168631893</c:v>
                </c:pt>
                <c:pt idx="22">
                  <c:v>51.972085744164723</c:v>
                </c:pt>
                <c:pt idx="23">
                  <c:v>51.919685983128552</c:v>
                </c:pt>
                <c:pt idx="24">
                  <c:v>51.860292881034482</c:v>
                </c:pt>
                <c:pt idx="25">
                  <c:v>51.79308784491711</c:v>
                </c:pt>
                <c:pt idx="26">
                  <c:v>51.717187884953631</c:v>
                </c:pt>
                <c:pt idx="27">
                  <c:v>51.631648974385833</c:v>
                </c:pt>
                <c:pt idx="28">
                  <c:v>51.535472020042555</c:v>
                </c:pt>
                <c:pt idx="29">
                  <c:v>51.42761185448709</c:v>
                </c:pt>
                <c:pt idx="30">
                  <c:v>51.306989580894736</c:v>
                </c:pt>
                <c:pt idx="31">
                  <c:v>51.172508463111342</c:v>
                </c:pt>
                <c:pt idx="32">
                  <c:v>51.02307335044248</c:v>
                </c:pt>
                <c:pt idx="33">
                  <c:v>50.857613361946292</c:v>
                </c:pt>
                <c:pt idx="34">
                  <c:v>50.675107241701397</c:v>
                </c:pt>
                <c:pt idx="35">
                  <c:v>50.47461046099545</c:v>
                </c:pt>
                <c:pt idx="36">
                  <c:v>50.25528282450739</c:v>
                </c:pt>
                <c:pt idx="37">
                  <c:v>50.016415083132799</c:v>
                </c:pt>
                <c:pt idx="38">
                  <c:v>49.757452915589141</c:v>
                </c:pt>
                <c:pt idx="39">
                  <c:v>49.47801665545547</c:v>
                </c:pt>
                <c:pt idx="40">
                  <c:v>49.17791533196683</c:v>
                </c:pt>
                <c:pt idx="41">
                  <c:v>48.857153956534951</c:v>
                </c:pt>
                <c:pt idx="42">
                  <c:v>48.515933487251111</c:v>
                </c:pt>
                <c:pt idx="43">
                  <c:v>48.154643479241841</c:v>
                </c:pt>
                <c:pt idx="44">
                  <c:v>47.773848003455306</c:v>
                </c:pt>
                <c:pt idx="45">
                  <c:v>47.374265914208408</c:v>
                </c:pt>
                <c:pt idx="46">
                  <c:v>46.956746905822236</c:v>
                </c:pt>
                <c:pt idx="47">
                  <c:v>46.522244986256929</c:v>
                </c:pt>
                <c:pt idx="48">
                  <c:v>46.07179100635819</c:v>
                </c:pt>
                <c:pt idx="49">
                  <c:v>45.606465739831961</c:v>
                </c:pt>
                <c:pt idx="50">
                  <c:v>45.127374752806858</c:v>
                </c:pt>
                <c:pt idx="51">
                  <c:v>44.635625982358533</c:v>
                </c:pt>
                <c:pt idx="52">
                  <c:v>44.132310608323849</c:v>
                </c:pt>
                <c:pt idx="53">
                  <c:v>43.61848749073323</c:v>
                </c:pt>
                <c:pt idx="54">
                  <c:v>43.095171182231411</c:v>
                </c:pt>
                <c:pt idx="55">
                  <c:v>42.563323324015698</c:v>
                </c:pt>
                <c:pt idx="56">
                  <c:v>42.023847097241102</c:v>
                </c:pt>
                <c:pt idx="57">
                  <c:v>41.477584323878133</c:v>
                </c:pt>
                <c:pt idx="58">
                  <c:v>40.925314781503516</c:v>
                </c:pt>
                <c:pt idx="59">
                  <c:v>40.3677573035705</c:v>
                </c:pt>
                <c:pt idx="60">
                  <c:v>39.805572268775379</c:v>
                </c:pt>
                <c:pt idx="61">
                  <c:v>39.239365130137401</c:v>
                </c:pt>
                <c:pt idx="62">
                  <c:v>38.669690688366416</c:v>
                </c:pt>
                <c:pt idx="63">
                  <c:v>38.097057869150554</c:v>
                </c:pt>
                <c:pt idx="64">
                  <c:v>37.521934816247878</c:v>
                </c:pt>
                <c:pt idx="65">
                  <c:v>36.944754159365679</c:v>
                </c:pt>
                <c:pt idx="66">
                  <c:v>36.365918356596964</c:v>
                </c:pt>
                <c:pt idx="67">
                  <c:v>35.785805045323372</c:v>
                </c:pt>
                <c:pt idx="68">
                  <c:v>35.204772363152685</c:v>
                </c:pt>
                <c:pt idx="69">
                  <c:v>34.623164222109232</c:v>
                </c:pt>
                <c:pt idx="70">
                  <c:v>34.041315535481004</c:v>
                </c:pt>
                <c:pt idx="71">
                  <c:v>33.459557408010852</c:v>
                </c:pt>
                <c:pt idx="72">
                  <c:v>32.878222306928819</c:v>
                </c:pt>
                <c:pt idx="73">
                  <c:v>32.297649233977154</c:v>
                </c:pt>
                <c:pt idx="74">
                  <c:v>31.718188917183387</c:v>
                </c:pt>
                <c:pt idx="75">
                  <c:v>31.140209035647413</c:v>
                </c:pt>
                <c:pt idx="76">
                  <c:v>30.564099480768444</c:v>
                </c:pt>
                <c:pt idx="77">
                  <c:v>29.990277642756226</c:v>
                </c:pt>
                <c:pt idx="78">
                  <c:v>29.419193691419125</c:v>
                </c:pt>
                <c:pt idx="79">
                  <c:v>28.851335794537466</c:v>
                </c:pt>
                <c:pt idx="80">
                  <c:v>28.287235185086644</c:v>
                </c:pt>
                <c:pt idx="81">
                  <c:v>27.727470949876505</c:v>
                </c:pt>
                <c:pt idx="82">
                  <c:v>27.172674366927453</c:v>
                </c:pt>
                <c:pt idx="83">
                  <c:v>26.623532567935349</c:v>
                </c:pt>
                <c:pt idx="84">
                  <c:v>26.080791247351534</c:v>
                </c:pt>
                <c:pt idx="85">
                  <c:v>25.545256084209804</c:v>
                </c:pt>
                <c:pt idx="86">
                  <c:v>25.017792491992608</c:v>
                </c:pt>
                <c:pt idx="87">
                  <c:v>24.499323272719966</c:v>
                </c:pt>
                <c:pt idx="88">
                  <c:v>23.990823733422609</c:v>
                </c:pt>
                <c:pt idx="89">
                  <c:v>23.4933138373475</c:v>
                </c:pt>
                <c:pt idx="90">
                  <c:v>23.007847020589665</c:v>
                </c:pt>
                <c:pt idx="91">
                  <c:v>22.535495418422215</c:v>
                </c:pt>
                <c:pt idx="92">
                  <c:v>22.077331422037922</c:v>
                </c:pt>
                <c:pt idx="93">
                  <c:v>21.634405726779882</c:v>
                </c:pt>
                <c:pt idx="94">
                  <c:v>21.20772232842285</c:v>
                </c:pt>
                <c:pt idx="95">
                  <c:v>20.798211253459616</c:v>
                </c:pt>
                <c:pt idx="96">
                  <c:v>20.406700138405441</c:v>
                </c:pt>
                <c:pt idx="97">
                  <c:v>20.033886056835875</c:v>
                </c:pt>
                <c:pt idx="98">
                  <c:v>19.680309181394449</c:v>
                </c:pt>
                <c:pt idx="99">
                  <c:v>19.346329915787233</c:v>
                </c:pt>
                <c:pt idx="100">
                  <c:v>19.032111008312434</c:v>
                </c:pt>
                <c:pt idx="101">
                  <c:v>18.737605857856003</c:v>
                </c:pt>
                <c:pt idx="102">
                  <c:v>18.46255376952395</c:v>
                </c:pt>
                <c:pt idx="103">
                  <c:v>18.206482362691705</c:v>
                </c:pt>
                <c:pt idx="104">
                  <c:v>17.968716751665575</c:v>
                </c:pt>
                <c:pt idx="105">
                  <c:v>17.748394586734914</c:v>
                </c:pt>
                <c:pt idx="106">
                  <c:v>17.544485629855274</c:v>
                </c:pt>
                <c:pt idx="107">
                  <c:v>17.355814290694486</c:v>
                </c:pt>
                <c:pt idx="108">
                  <c:v>17.181083482001796</c:v>
                </c:pt>
                <c:pt idx="109">
                  <c:v>17.018898255956898</c:v>
                </c:pt>
                <c:pt idx="110">
                  <c:v>16.867787920650596</c:v>
                </c:pt>
                <c:pt idx="111">
                  <c:v>16.726225661231503</c:v>
                </c:pt>
                <c:pt idx="112">
                  <c:v>16.592645054787972</c:v>
                </c:pt>
                <c:pt idx="113">
                  <c:v>16.465453229482886</c:v>
                </c:pt>
                <c:pt idx="114">
                  <c:v>16.343040745815482</c:v>
                </c:pt>
                <c:pt idx="115">
                  <c:v>16.223788552612138</c:v>
                </c:pt>
                <c:pt idx="116">
                  <c:v>16.106072584784297</c:v>
                </c:pt>
                <c:pt idx="117">
                  <c:v>15.988266724040614</c:v>
                </c:pt>
                <c:pt idx="118">
                  <c:v>15.868744941593755</c:v>
                </c:pt>
                <c:pt idx="119">
                  <c:v>15.745883488082271</c:v>
                </c:pt>
                <c:pt idx="120">
                  <c:v>15.618063993280932</c:v>
                </c:pt>
                <c:pt idx="121">
                  <c:v>15.483678286516504</c:v>
                </c:pt>
                <c:pt idx="122">
                  <c:v>15.341135644931242</c:v>
                </c:pt>
                <c:pt idx="123">
                  <c:v>15.18887301613621</c:v>
                </c:pt>
                <c:pt idx="124">
                  <c:v>15.025368540655746</c:v>
                </c:pt>
                <c:pt idx="125">
                  <c:v>14.849158418524853</c:v>
                </c:pt>
                <c:pt idx="126">
                  <c:v>14.658856832179179</c:v>
                </c:pt>
                <c:pt idx="127">
                  <c:v>14.453178274239377</c:v>
                </c:pt>
                <c:pt idx="128">
                  <c:v>14.230961266278584</c:v>
                </c:pt>
                <c:pt idx="129">
                  <c:v>13.991192136432343</c:v>
                </c:pt>
                <c:pt idx="130">
                  <c:v>13.733027298748299</c:v>
                </c:pt>
                <c:pt idx="131">
                  <c:v>13.45581239158504</c:v>
                </c:pt>
                <c:pt idx="132">
                  <c:v>13.159096718832062</c:v>
                </c:pt>
                <c:pt idx="133">
                  <c:v>12.842641705575534</c:v>
                </c:pt>
                <c:pt idx="134">
                  <c:v>12.506422509032864</c:v>
                </c:pt>
                <c:pt idx="135">
                  <c:v>12.150622467058316</c:v>
                </c:pt>
                <c:pt idx="136">
                  <c:v>11.775620649802654</c:v>
                </c:pt>
                <c:pt idx="137">
                  <c:v>11.381973326699891</c:v>
                </c:pt>
                <c:pt idx="138">
                  <c:v>10.970390599996289</c:v>
                </c:pt>
                <c:pt idx="139">
                  <c:v>10.541709737824371</c:v>
                </c:pt>
                <c:pt idx="140">
                  <c:v>10.096866843684856</c:v>
                </c:pt>
                <c:pt idx="141">
                  <c:v>9.6368684340759216</c:v>
                </c:pt>
                <c:pt idx="142">
                  <c:v>9.1627642945708345</c:v>
                </c:pt>
                <c:pt idx="143">
                  <c:v>8.6756226934175782</c:v>
                </c:pt>
                <c:pt idx="144">
                  <c:v>8.1765087004303041</c:v>
                </c:pt>
                <c:pt idx="145">
                  <c:v>7.6664660316042612</c:v>
                </c:pt>
                <c:pt idx="146">
                  <c:v>7.1465025494025225</c:v>
                </c:pt>
                <c:pt idx="147">
                  <c:v>6.6175793147999471</c:v>
                </c:pt>
                <c:pt idx="148">
                  <c:v>6.080602917511384</c:v>
                </c:pt>
                <c:pt idx="149">
                  <c:v>5.5364207034377602</c:v>
                </c:pt>
                <c:pt idx="150">
                  <c:v>4.985818465078399</c:v>
                </c:pt>
                <c:pt idx="151">
                  <c:v>4.4295201502069581</c:v>
                </c:pt>
                <c:pt idx="152">
                  <c:v>3.8681891645733977</c:v>
                </c:pt>
                <c:pt idx="153">
                  <c:v>3.3024308847979866</c:v>
                </c:pt>
                <c:pt idx="154">
                  <c:v>2.7327960488814105</c:v>
                </c:pt>
                <c:pt idx="155">
                  <c:v>2.159784746904803</c:v>
                </c:pt>
                <c:pt idx="156">
                  <c:v>1.5838507886792954</c:v>
                </c:pt>
                <c:pt idx="157">
                  <c:v>1.005406275219157</c:v>
                </c:pt>
                <c:pt idx="158">
                  <c:v>0.42482624528854074</c:v>
                </c:pt>
                <c:pt idx="159">
                  <c:v>-0.15754669378800545</c:v>
                </c:pt>
                <c:pt idx="160">
                  <c:v>-0.74139781031254837</c:v>
                </c:pt>
                <c:pt idx="161">
                  <c:v>-1.326435801084211</c:v>
                </c:pt>
                <c:pt idx="162">
                  <c:v>-1.9123884663649902</c:v>
                </c:pt>
                <c:pt idx="163">
                  <c:v>-2.4989985046592564</c:v>
                </c:pt>
                <c:pt idx="164">
                  <c:v>-3.086019413186758</c:v>
                </c:pt>
                <c:pt idx="165">
                  <c:v>-3.6732114713144011</c:v>
                </c:pt>
                <c:pt idx="166">
                  <c:v>-4.2603377782973766</c:v>
                </c:pt>
                <c:pt idx="167">
                  <c:v>-4.8471603130678984</c:v>
                </c:pt>
                <c:pt idx="168">
                  <c:v>-5.433435982246082</c:v>
                </c:pt>
                <c:pt idx="169">
                  <c:v>-6.0189126229274672</c:v>
                </c:pt>
                <c:pt idx="170">
                  <c:v>-6.603324929144355</c:v>
                </c:pt>
                <c:pt idx="171">
                  <c:v>-7.1863902753943947</c:v>
                </c:pt>
                <c:pt idx="172">
                  <c:v>-7.7678044175855101</c:v>
                </c:pt>
                <c:pt idx="173">
                  <c:v>-8.347237061616088</c:v>
                </c:pt>
                <c:pt idx="174">
                  <c:v>-8.9243273031842989</c:v>
                </c:pt>
                <c:pt idx="175">
                  <c:v>-9.4986789599478296</c:v>
                </c:pt>
                <c:pt idx="176">
                  <c:v>-10.069855839598567</c:v>
                </c:pt>
                <c:pt idx="177">
                  <c:v>-10.637377015454968</c:v>
                </c:pt>
                <c:pt idx="178">
                  <c:v>-11.200712215401422</c:v>
                </c:pt>
                <c:pt idx="179">
                  <c:v>-11.75927747066982</c:v>
                </c:pt>
                <c:pt idx="180">
                  <c:v>-12.312431217809854</c:v>
                </c:pt>
                <c:pt idx="181">
                  <c:v>-12.859471099111639</c:v>
                </c:pt>
                <c:pt idx="182">
                  <c:v>-13.399631761439819</c:v>
                </c:pt>
                <c:pt idx="183">
                  <c:v>-13.932084007021006</c:v>
                </c:pt>
                <c:pt idx="184">
                  <c:v>-14.45593569639084</c:v>
                </c:pt>
                <c:pt idx="185">
                  <c:v>-14.970234835479379</c:v>
                </c:pt>
                <c:pt idx="186">
                  <c:v>-15.473975285654483</c:v>
                </c:pt>
                <c:pt idx="187">
                  <c:v>-15.966105505887294</c:v>
                </c:pt>
                <c:pt idx="188">
                  <c:v>-16.445540658161576</c:v>
                </c:pt>
                <c:pt idx="189">
                  <c:v>-16.911178270663424</c:v>
                </c:pt>
                <c:pt idx="190">
                  <c:v>-17.361917452464976</c:v>
                </c:pt>
                <c:pt idx="191">
                  <c:v>-17.79668139048426</c:v>
                </c:pt>
                <c:pt idx="192">
                  <c:v>-18.214442547456528</c:v>
                </c:pt>
                <c:pt idx="193">
                  <c:v>-18.614249644442296</c:v>
                </c:pt>
                <c:pt idx="194">
                  <c:v>-18.99525519157131</c:v>
                </c:pt>
                <c:pt idx="195">
                  <c:v>-19.356742073923137</c:v>
                </c:pt>
                <c:pt idx="196">
                  <c:v>-19.698147555205246</c:v>
                </c:pt>
                <c:pt idx="197">
                  <c:v>-20.019083071724012</c:v>
                </c:pt>
                <c:pt idx="198">
                  <c:v>-20.319348375818489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0993416"/>
        <c:axId val="520993808"/>
      </c:scatterChart>
      <c:valAx>
        <c:axId val="520993416"/>
        <c:scaling>
          <c:logBase val="10"/>
          <c:orientation val="minMax"/>
          <c:min val="10"/>
        </c:scaling>
        <c:delete val="0"/>
        <c:axPos val="b"/>
        <c:minorGridlines/>
        <c:numFmt formatCode="General" sourceLinked="1"/>
        <c:majorTickMark val="out"/>
        <c:minorTickMark val="none"/>
        <c:tickLblPos val="nextTo"/>
        <c:crossAx val="520993808"/>
        <c:crosses val="autoZero"/>
        <c:crossBetween val="midCat"/>
      </c:valAx>
      <c:valAx>
        <c:axId val="520993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09934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Phase of Vloop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'9. Loop Compensation'!$AT$1</c:f>
              <c:strCache>
                <c:ptCount val="1"/>
                <c:pt idx="0">
                  <c:v>°</c:v>
                </c:pt>
              </c:strCache>
            </c:strRef>
          </c:tx>
          <c:marker>
            <c:symbol val="none"/>
          </c:marker>
          <c:xVal>
            <c:numRef>
              <c:f>'9. Loop Compensation'!$Z$2:$Z$201</c:f>
              <c:numCache>
                <c:formatCode>General</c:formatCode>
                <c:ptCount val="200"/>
                <c:pt idx="0">
                  <c:v>1</c:v>
                </c:pt>
                <c:pt idx="1">
                  <c:v>1.0715193052376064</c:v>
                </c:pt>
                <c:pt idx="2">
                  <c:v>1.1481536214968828</c:v>
                </c:pt>
                <c:pt idx="3">
                  <c:v>1.2302687708123814</c:v>
                </c:pt>
                <c:pt idx="4">
                  <c:v>1.318256738556407</c:v>
                </c:pt>
                <c:pt idx="5">
                  <c:v>1.4125375446227544</c:v>
                </c:pt>
                <c:pt idx="6">
                  <c:v>1.513561248436208</c:v>
                </c:pt>
                <c:pt idx="7">
                  <c:v>1.6218100973589298</c:v>
                </c:pt>
                <c:pt idx="8">
                  <c:v>1.7378008287493754</c:v>
                </c:pt>
                <c:pt idx="9">
                  <c:v>1.8620871366628673</c:v>
                </c:pt>
                <c:pt idx="10">
                  <c:v>1.9952623149688797</c:v>
                </c:pt>
                <c:pt idx="11">
                  <c:v>2.1379620895022318</c:v>
                </c:pt>
                <c:pt idx="12">
                  <c:v>2.2908676527677727</c:v>
                </c:pt>
                <c:pt idx="13">
                  <c:v>2.4547089156850301</c:v>
                </c:pt>
                <c:pt idx="14">
                  <c:v>2.6302679918953817</c:v>
                </c:pt>
                <c:pt idx="15">
                  <c:v>2.8183829312644537</c:v>
                </c:pt>
                <c:pt idx="16">
                  <c:v>3.0199517204020156</c:v>
                </c:pt>
                <c:pt idx="17">
                  <c:v>3.2359365692962818</c:v>
                </c:pt>
                <c:pt idx="18">
                  <c:v>3.4673685045253162</c:v>
                </c:pt>
                <c:pt idx="19">
                  <c:v>3.7153522909717256</c:v>
                </c:pt>
                <c:pt idx="20">
                  <c:v>3.9810717055349727</c:v>
                </c:pt>
                <c:pt idx="21">
                  <c:v>4.2657951880159262</c:v>
                </c:pt>
                <c:pt idx="22">
                  <c:v>4.570881896148749</c:v>
                </c:pt>
                <c:pt idx="23">
                  <c:v>4.8977881936844616</c:v>
                </c:pt>
                <c:pt idx="24">
                  <c:v>5.2480746024977245</c:v>
                </c:pt>
                <c:pt idx="25">
                  <c:v>5.6234132519034903</c:v>
                </c:pt>
                <c:pt idx="26">
                  <c:v>6.0255958607435751</c:v>
                </c:pt>
                <c:pt idx="27">
                  <c:v>6.4565422903465537</c:v>
                </c:pt>
                <c:pt idx="28">
                  <c:v>6.9183097091893631</c:v>
                </c:pt>
                <c:pt idx="29">
                  <c:v>7.4131024130091765</c:v>
                </c:pt>
                <c:pt idx="30">
                  <c:v>7.943282347242814</c:v>
                </c:pt>
                <c:pt idx="31">
                  <c:v>8.5113803820237646</c:v>
                </c:pt>
                <c:pt idx="32">
                  <c:v>9.1201083935590948</c:v>
                </c:pt>
                <c:pt idx="33">
                  <c:v>9.7723722095581049</c:v>
                </c:pt>
                <c:pt idx="34">
                  <c:v>10.471285480508991</c:v>
                </c:pt>
                <c:pt idx="35">
                  <c:v>11.220184543019631</c:v>
                </c:pt>
                <c:pt idx="36">
                  <c:v>12.022644346174127</c:v>
                </c:pt>
                <c:pt idx="37">
                  <c:v>12.882495516931341</c:v>
                </c:pt>
                <c:pt idx="38">
                  <c:v>13.803842646028851</c:v>
                </c:pt>
                <c:pt idx="39">
                  <c:v>14.791083881682074</c:v>
                </c:pt>
                <c:pt idx="40">
                  <c:v>15.848931924611136</c:v>
                </c:pt>
                <c:pt idx="41">
                  <c:v>16.982436524617441</c:v>
                </c:pt>
                <c:pt idx="42">
                  <c:v>18.197008586099834</c:v>
                </c:pt>
                <c:pt idx="43">
                  <c:v>19.498445997580447</c:v>
                </c:pt>
                <c:pt idx="44">
                  <c:v>20.892961308540382</c:v>
                </c:pt>
                <c:pt idx="45">
                  <c:v>22.387211385683386</c:v>
                </c:pt>
                <c:pt idx="46">
                  <c:v>23.988329190194897</c:v>
                </c:pt>
                <c:pt idx="47">
                  <c:v>25.703957827688622</c:v>
                </c:pt>
                <c:pt idx="48">
                  <c:v>27.542287033381651</c:v>
                </c:pt>
                <c:pt idx="49">
                  <c:v>29.512092266663849</c:v>
                </c:pt>
                <c:pt idx="50">
                  <c:v>31.622776601683789</c:v>
                </c:pt>
                <c:pt idx="51">
                  <c:v>33.884415613920254</c:v>
                </c:pt>
                <c:pt idx="52">
                  <c:v>36.307805477010106</c:v>
                </c:pt>
                <c:pt idx="53">
                  <c:v>38.904514499428039</c:v>
                </c:pt>
                <c:pt idx="54">
                  <c:v>41.686938347033525</c:v>
                </c:pt>
                <c:pt idx="55">
                  <c:v>44.668359215096302</c:v>
                </c:pt>
                <c:pt idx="56">
                  <c:v>47.863009232263813</c:v>
                </c:pt>
                <c:pt idx="57">
                  <c:v>51.286138399136469</c:v>
                </c:pt>
                <c:pt idx="58">
                  <c:v>54.95408738576247</c:v>
                </c:pt>
                <c:pt idx="59">
                  <c:v>58.884365535558892</c:v>
                </c:pt>
                <c:pt idx="60">
                  <c:v>63.095734448019307</c:v>
                </c:pt>
                <c:pt idx="61">
                  <c:v>67.608297539198134</c:v>
                </c:pt>
                <c:pt idx="62">
                  <c:v>72.443596007499011</c:v>
                </c:pt>
                <c:pt idx="63">
                  <c:v>77.624711662869146</c:v>
                </c:pt>
                <c:pt idx="64">
                  <c:v>83.176377110267055</c:v>
                </c:pt>
                <c:pt idx="65">
                  <c:v>89.125093813374562</c:v>
                </c:pt>
                <c:pt idx="66">
                  <c:v>95.49925860214357</c:v>
                </c:pt>
                <c:pt idx="67">
                  <c:v>102.32929922807544</c:v>
                </c:pt>
                <c:pt idx="68">
                  <c:v>109.64781961431841</c:v>
                </c:pt>
                <c:pt idx="69">
                  <c:v>117.48975549395293</c:v>
                </c:pt>
                <c:pt idx="70">
                  <c:v>125.89254117941665</c:v>
                </c:pt>
                <c:pt idx="71">
                  <c:v>134.89628825916537</c:v>
                </c:pt>
                <c:pt idx="72">
                  <c:v>144.54397707459273</c:v>
                </c:pt>
                <c:pt idx="73">
                  <c:v>154.88166189124806</c:v>
                </c:pt>
                <c:pt idx="74">
                  <c:v>165.95869074375608</c:v>
                </c:pt>
                <c:pt idx="75">
                  <c:v>177.82794100389225</c:v>
                </c:pt>
                <c:pt idx="76">
                  <c:v>190.54607179632481</c:v>
                </c:pt>
                <c:pt idx="77">
                  <c:v>204.17379446695278</c:v>
                </c:pt>
                <c:pt idx="78">
                  <c:v>218.77616239495524</c:v>
                </c:pt>
                <c:pt idx="79">
                  <c:v>234.42288153199212</c:v>
                </c:pt>
                <c:pt idx="80">
                  <c:v>251.18864315095806</c:v>
                </c:pt>
                <c:pt idx="81">
                  <c:v>269.15348039269156</c:v>
                </c:pt>
                <c:pt idx="82">
                  <c:v>288.4031503126605</c:v>
                </c:pt>
                <c:pt idx="83">
                  <c:v>309.02954325135909</c:v>
                </c:pt>
                <c:pt idx="84">
                  <c:v>331.13112148259108</c:v>
                </c:pt>
                <c:pt idx="85">
                  <c:v>354.81338923357566</c:v>
                </c:pt>
                <c:pt idx="86">
                  <c:v>380.18939632056095</c:v>
                </c:pt>
                <c:pt idx="87">
                  <c:v>407.38027780411232</c:v>
                </c:pt>
                <c:pt idx="88">
                  <c:v>436.51583224016542</c:v>
                </c:pt>
                <c:pt idx="89">
                  <c:v>467.73514128719791</c:v>
                </c:pt>
                <c:pt idx="90">
                  <c:v>501.18723362727184</c:v>
                </c:pt>
                <c:pt idx="91">
                  <c:v>537.03179637025255</c:v>
                </c:pt>
                <c:pt idx="92">
                  <c:v>575.43993733715661</c:v>
                </c:pt>
                <c:pt idx="93">
                  <c:v>616.59500186148216</c:v>
                </c:pt>
                <c:pt idx="94">
                  <c:v>660.69344800759518</c:v>
                </c:pt>
                <c:pt idx="95">
                  <c:v>707.94578438413748</c:v>
                </c:pt>
                <c:pt idx="96">
                  <c:v>758.57757502918309</c:v>
                </c:pt>
                <c:pt idx="97">
                  <c:v>812.8305161640983</c:v>
                </c:pt>
                <c:pt idx="98">
                  <c:v>870.96358995608011</c:v>
                </c:pt>
                <c:pt idx="99">
                  <c:v>933.25430079699026</c:v>
                </c:pt>
                <c:pt idx="100">
                  <c:v>999.99999999999977</c:v>
                </c:pt>
                <c:pt idx="101">
                  <c:v>1071.5193052376057</c:v>
                </c:pt>
                <c:pt idx="102">
                  <c:v>1148.1536214968828</c:v>
                </c:pt>
                <c:pt idx="103">
                  <c:v>1230.2687708123801</c:v>
                </c:pt>
                <c:pt idx="104">
                  <c:v>1318.2567385564053</c:v>
                </c:pt>
                <c:pt idx="105">
                  <c:v>1412.5375446227531</c:v>
                </c:pt>
                <c:pt idx="106">
                  <c:v>1513.5612484362066</c:v>
                </c:pt>
                <c:pt idx="107">
                  <c:v>1621.8100973589292</c:v>
                </c:pt>
                <c:pt idx="108">
                  <c:v>1737.8008287493742</c:v>
                </c:pt>
                <c:pt idx="109">
                  <c:v>1862.0871366628671</c:v>
                </c:pt>
                <c:pt idx="110">
                  <c:v>1995.2623149688786</c:v>
                </c:pt>
                <c:pt idx="111">
                  <c:v>2137.9620895022326</c:v>
                </c:pt>
                <c:pt idx="112">
                  <c:v>2290.8676527677708</c:v>
                </c:pt>
                <c:pt idx="113">
                  <c:v>2454.708915685027</c:v>
                </c:pt>
                <c:pt idx="114">
                  <c:v>2630.26799189538</c:v>
                </c:pt>
                <c:pt idx="115">
                  <c:v>2818.3829312644511</c:v>
                </c:pt>
                <c:pt idx="116">
                  <c:v>3019.9517204020176</c:v>
                </c:pt>
                <c:pt idx="117">
                  <c:v>3235.9365692962774</c:v>
                </c:pt>
                <c:pt idx="118">
                  <c:v>3467.368504525316</c:v>
                </c:pt>
                <c:pt idx="119">
                  <c:v>3715.352290971724</c:v>
                </c:pt>
                <c:pt idx="120">
                  <c:v>3981.0717055349701</c:v>
                </c:pt>
                <c:pt idx="121">
                  <c:v>4265.7951880159226</c:v>
                </c:pt>
                <c:pt idx="122">
                  <c:v>4570.881896148745</c:v>
                </c:pt>
                <c:pt idx="123">
                  <c:v>4897.7881936844633</c:v>
                </c:pt>
                <c:pt idx="124">
                  <c:v>5248.0746024977261</c:v>
                </c:pt>
                <c:pt idx="125">
                  <c:v>5623.4132519034893</c:v>
                </c:pt>
                <c:pt idx="126">
                  <c:v>6025.5958607435741</c:v>
                </c:pt>
                <c:pt idx="127">
                  <c:v>6456.5422903465496</c:v>
                </c:pt>
                <c:pt idx="128">
                  <c:v>6918.3097091893569</c:v>
                </c:pt>
                <c:pt idx="129">
                  <c:v>7413.1024130091646</c:v>
                </c:pt>
                <c:pt idx="130">
                  <c:v>7943.2823472428154</c:v>
                </c:pt>
                <c:pt idx="131">
                  <c:v>8511.3803820237626</c:v>
                </c:pt>
                <c:pt idx="132">
                  <c:v>9120.1083935590923</c:v>
                </c:pt>
                <c:pt idx="133">
                  <c:v>9772.3722095580997</c:v>
                </c:pt>
                <c:pt idx="134">
                  <c:v>10471.285480509003</c:v>
                </c:pt>
                <c:pt idx="135">
                  <c:v>11220.184543019639</c:v>
                </c:pt>
                <c:pt idx="136">
                  <c:v>12022.644346174109</c:v>
                </c:pt>
                <c:pt idx="137">
                  <c:v>12882.495516931338</c:v>
                </c:pt>
                <c:pt idx="138">
                  <c:v>13803.842646028841</c:v>
                </c:pt>
                <c:pt idx="139">
                  <c:v>14791.083881682063</c:v>
                </c:pt>
                <c:pt idx="140">
                  <c:v>15848.931924611119</c:v>
                </c:pt>
                <c:pt idx="141">
                  <c:v>16982.436524617453</c:v>
                </c:pt>
                <c:pt idx="142">
                  <c:v>18197.008586099837</c:v>
                </c:pt>
                <c:pt idx="143">
                  <c:v>19498.445997580417</c:v>
                </c:pt>
                <c:pt idx="144">
                  <c:v>20892.961308540387</c:v>
                </c:pt>
                <c:pt idx="145">
                  <c:v>22387.211385683382</c:v>
                </c:pt>
                <c:pt idx="146">
                  <c:v>23988.32919019488</c:v>
                </c:pt>
                <c:pt idx="147">
                  <c:v>25703.957827688606</c:v>
                </c:pt>
                <c:pt idx="148">
                  <c:v>27542.287033381672</c:v>
                </c:pt>
                <c:pt idx="149">
                  <c:v>29512.092266663854</c:v>
                </c:pt>
                <c:pt idx="150">
                  <c:v>31622.776601683781</c:v>
                </c:pt>
                <c:pt idx="151">
                  <c:v>33884.415613920231</c:v>
                </c:pt>
                <c:pt idx="152">
                  <c:v>36307.805477010166</c:v>
                </c:pt>
                <c:pt idx="153">
                  <c:v>38904.514499428085</c:v>
                </c:pt>
                <c:pt idx="154">
                  <c:v>41686.93834703348</c:v>
                </c:pt>
                <c:pt idx="155">
                  <c:v>44668.359215096309</c:v>
                </c:pt>
                <c:pt idx="156">
                  <c:v>47863.009232263823</c:v>
                </c:pt>
                <c:pt idx="157">
                  <c:v>51286.138399136456</c:v>
                </c:pt>
                <c:pt idx="158">
                  <c:v>54954.08738576241</c:v>
                </c:pt>
                <c:pt idx="159">
                  <c:v>58884.365535558936</c:v>
                </c:pt>
                <c:pt idx="160">
                  <c:v>63095.734448019342</c:v>
                </c:pt>
                <c:pt idx="161">
                  <c:v>67608.297539198174</c:v>
                </c:pt>
                <c:pt idx="162">
                  <c:v>72443.596007498985</c:v>
                </c:pt>
                <c:pt idx="163">
                  <c:v>77624.711662869129</c:v>
                </c:pt>
                <c:pt idx="164">
                  <c:v>83176.377110267029</c:v>
                </c:pt>
                <c:pt idx="165">
                  <c:v>89125.093813374449</c:v>
                </c:pt>
                <c:pt idx="166">
                  <c:v>95499.258602143629</c:v>
                </c:pt>
                <c:pt idx="167">
                  <c:v>102329.29922807543</c:v>
                </c:pt>
                <c:pt idx="168">
                  <c:v>109647.81961431848</c:v>
                </c:pt>
                <c:pt idx="169">
                  <c:v>117489.75549395289</c:v>
                </c:pt>
                <c:pt idx="170">
                  <c:v>125892.54117941685</c:v>
                </c:pt>
                <c:pt idx="171">
                  <c:v>134896.28825916522</c:v>
                </c:pt>
                <c:pt idx="172">
                  <c:v>144543.97707459255</c:v>
                </c:pt>
                <c:pt idx="173">
                  <c:v>154881.66189124787</c:v>
                </c:pt>
                <c:pt idx="174">
                  <c:v>165958.69074375575</c:v>
                </c:pt>
                <c:pt idx="175">
                  <c:v>177827.94100389219</c:v>
                </c:pt>
                <c:pt idx="176">
                  <c:v>190546.07179632425</c:v>
                </c:pt>
                <c:pt idx="177">
                  <c:v>204173.79446695274</c:v>
                </c:pt>
                <c:pt idx="178">
                  <c:v>218776.16239495497</c:v>
                </c:pt>
                <c:pt idx="179">
                  <c:v>234422.88153199226</c:v>
                </c:pt>
                <c:pt idx="180">
                  <c:v>251188.64315095753</c:v>
                </c:pt>
                <c:pt idx="181">
                  <c:v>269153.48039269098</c:v>
                </c:pt>
                <c:pt idx="182">
                  <c:v>288403.15031266044</c:v>
                </c:pt>
                <c:pt idx="183">
                  <c:v>309029.54325135821</c:v>
                </c:pt>
                <c:pt idx="184">
                  <c:v>331131.12148259068</c:v>
                </c:pt>
                <c:pt idx="185">
                  <c:v>354813.38923357491</c:v>
                </c:pt>
                <c:pt idx="186">
                  <c:v>380189.39632056118</c:v>
                </c:pt>
                <c:pt idx="187">
                  <c:v>407380.27780411189</c:v>
                </c:pt>
                <c:pt idx="188">
                  <c:v>436515.83224016492</c:v>
                </c:pt>
                <c:pt idx="189">
                  <c:v>467735.14128719777</c:v>
                </c:pt>
                <c:pt idx="190">
                  <c:v>501187.23362727172</c:v>
                </c:pt>
                <c:pt idx="191">
                  <c:v>537031.79637025192</c:v>
                </c:pt>
                <c:pt idx="192">
                  <c:v>575439.93733715592</c:v>
                </c:pt>
                <c:pt idx="193">
                  <c:v>616595.00186148204</c:v>
                </c:pt>
                <c:pt idx="194">
                  <c:v>660693.44800759444</c:v>
                </c:pt>
                <c:pt idx="195">
                  <c:v>707945.78438413737</c:v>
                </c:pt>
                <c:pt idx="196">
                  <c:v>758577.57502918295</c:v>
                </c:pt>
                <c:pt idx="197">
                  <c:v>812830.51616409956</c:v>
                </c:pt>
                <c:pt idx="198">
                  <c:v>870963.58995607914</c:v>
                </c:pt>
                <c:pt idx="199">
                  <c:v>933254.30079698924</c:v>
                </c:pt>
              </c:numCache>
            </c:numRef>
          </c:xVal>
          <c:yVal>
            <c:numRef>
              <c:f>'9. Loop Compensation'!$AT$2:$AT$201</c:f>
              <c:numCache>
                <c:formatCode>General</c:formatCode>
                <c:ptCount val="200"/>
                <c:pt idx="0">
                  <c:v>175.43218513132544</c:v>
                </c:pt>
                <c:pt idx="1">
                  <c:v>175.10635117896413</c:v>
                </c:pt>
                <c:pt idx="2">
                  <c:v>174.75740938483273</c:v>
                </c:pt>
                <c:pt idx="3">
                  <c:v>174.38375178185973</c:v>
                </c:pt>
                <c:pt idx="4">
                  <c:v>173.98366555160302</c:v>
                </c:pt>
                <c:pt idx="5">
                  <c:v>173.55532780482542</c:v>
                </c:pt>
                <c:pt idx="6">
                  <c:v>173.0968004903421</c:v>
                </c:pt>
                <c:pt idx="7">
                  <c:v>172.60602554745159</c:v>
                </c:pt>
                <c:pt idx="8">
                  <c:v>172.08082044624206</c:v>
                </c:pt>
                <c:pt idx="9">
                  <c:v>171.51887429447652</c:v>
                </c:pt>
                <c:pt idx="10">
                  <c:v>170.91774473020286</c:v>
                </c:pt>
                <c:pt idx="11">
                  <c:v>170.27485586627373</c:v>
                </c:pt>
                <c:pt idx="12">
                  <c:v>169.58749760693024</c:v>
                </c:pt>
                <c:pt idx="13">
                  <c:v>168.85282671756357</c:v>
                </c:pt>
                <c:pt idx="14">
                  <c:v>168.06787009624887</c:v>
                </c:pt>
                <c:pt idx="15">
                  <c:v>167.22953076843618</c:v>
                </c:pt>
                <c:pt idx="16">
                  <c:v>166.33459720200256</c:v>
                </c:pt>
                <c:pt idx="17">
                  <c:v>165.37975661494781</c:v>
                </c:pt>
                <c:pt idx="18">
                  <c:v>164.36161301665592</c:v>
                </c:pt>
                <c:pt idx="19">
                  <c:v>163.27671077764745</c:v>
                </c:pt>
                <c:pt idx="20">
                  <c:v>162.12156455095311</c:v>
                </c:pt>
                <c:pt idx="21">
                  <c:v>160.89269635602145</c:v>
                </c:pt>
                <c:pt idx="22">
                  <c:v>159.5866805652488</c:v>
                </c:pt>
                <c:pt idx="23">
                  <c:v>158.20019738223723</c:v>
                </c:pt>
                <c:pt idx="24">
                  <c:v>156.73009514598479</c:v>
                </c:pt>
                <c:pt idx="25">
                  <c:v>155.17346141251798</c:v>
                </c:pt>
                <c:pt idx="26">
                  <c:v>153.52770223472112</c:v>
                </c:pt>
                <c:pt idx="27">
                  <c:v>151.79062837101816</c:v>
                </c:pt>
                <c:pt idx="28">
                  <c:v>149.9605463090063</c:v>
                </c:pt>
                <c:pt idx="29">
                  <c:v>148.03635102052826</c:v>
                </c:pt>
                <c:pt idx="30">
                  <c:v>146.01761633226675</c:v>
                </c:pt>
                <c:pt idx="31">
                  <c:v>143.90467780201973</c:v>
                </c:pt>
                <c:pt idx="32">
                  <c:v>141.69870217633664</c:v>
                </c:pt>
                <c:pt idx="33">
                  <c:v>139.40173704283598</c:v>
                </c:pt>
                <c:pt idx="34">
                  <c:v>137.01673436477537</c:v>
                </c:pt>
                <c:pt idx="35">
                  <c:v>134.54754236026167</c:v>
                </c:pt>
                <c:pt idx="36">
                  <c:v>131.99886176539064</c:v>
                </c:pt>
                <c:pt idx="37">
                  <c:v>129.37616489509026</c:v>
                </c:pt>
                <c:pt idx="38">
                  <c:v>126.68557894407098</c:v>
                </c:pt>
                <c:pt idx="39">
                  <c:v>123.93373836205501</c:v>
                </c:pt>
                <c:pt idx="40">
                  <c:v>121.12761447985136</c:v>
                </c:pt>
                <c:pt idx="41">
                  <c:v>118.27433338440487</c:v>
                </c:pt>
                <c:pt idx="42">
                  <c:v>115.38099489924751</c:v>
                </c:pt>
                <c:pt idx="43">
                  <c:v>112.45450610087633</c:v>
                </c:pt>
                <c:pt idx="44">
                  <c:v>109.50144196193901</c:v>
                </c:pt>
                <c:pt idx="45">
                  <c:v>106.52794354742541</c:v>
                </c:pt>
                <c:pt idx="46">
                  <c:v>103.53966098246362</c:v>
                </c:pt>
                <c:pt idx="47">
                  <c:v>100.54174456845081</c:v>
                </c:pt>
                <c:pt idx="48">
                  <c:v>97.538883395850206</c:v>
                </c:pt>
                <c:pt idx="49">
                  <c:v>94.53538699296459</c:v>
                </c:pt>
                <c:pt idx="50">
                  <c:v>91.535302270531702</c:v>
                </c:pt>
                <c:pt idx="51">
                  <c:v>88.542555469054264</c:v>
                </c:pt>
                <c:pt idx="52">
                  <c:v>85.561107088559439</c:v>
                </c:pt>
                <c:pt idx="53">
                  <c:v>82.595106913761242</c:v>
                </c:pt>
                <c:pt idx="54">
                  <c:v>79.649036247924244</c:v>
                </c:pt>
                <c:pt idx="55">
                  <c:v>76.727825335905692</c:v>
                </c:pt>
                <c:pt idx="56">
                  <c:v>73.83693568434731</c:v>
                </c:pt>
                <c:pt idx="57">
                  <c:v>70.982399539462847</c:v>
                </c:pt>
                <c:pt idx="58">
                  <c:v>68.170812060844497</c:v>
                </c:pt>
                <c:pt idx="59">
                  <c:v>65.409275535512506</c:v>
                </c:pt>
                <c:pt idx="60">
                  <c:v>62.705298999256932</c:v>
                </c:pt>
                <c:pt idx="61">
                  <c:v>60.066660465796289</c:v>
                </c:pt>
                <c:pt idx="62">
                  <c:v>57.501242160264347</c:v>
                </c:pt>
                <c:pt idx="63">
                  <c:v>55.016851303398468</c:v>
                </c:pt>
                <c:pt idx="64">
                  <c:v>52.621039814580726</c:v>
                </c:pt>
                <c:pt idx="65">
                  <c:v>50.320935707204995</c:v>
                </c:pt>
                <c:pt idx="66">
                  <c:v>48.1230970684922</c:v>
                </c:pt>
                <c:pt idx="67">
                  <c:v>46.033396668807285</c:v>
                </c:pt>
                <c:pt idx="68">
                  <c:v>44.056941874857628</c:v>
                </c:pt>
                <c:pt idx="69">
                  <c:v>42.198031117607265</c:v>
                </c:pt>
                <c:pt idx="70">
                  <c:v>40.46014510092477</c:v>
                </c:pt>
                <c:pt idx="71">
                  <c:v>38.845968520766206</c:v>
                </c:pt>
                <c:pt idx="72">
                  <c:v>37.3574364396665</c:v>
                </c:pt>
                <c:pt idx="73">
                  <c:v>35.995798631313392</c:v>
                </c:pt>
                <c:pt idx="74">
                  <c:v>34.761695073522645</c:v>
                </c:pt>
                <c:pt idx="75">
                  <c:v>33.655236161876417</c:v>
                </c:pt>
                <c:pt idx="76">
                  <c:v>32.676081958015047</c:v>
                </c:pt>
                <c:pt idx="77">
                  <c:v>31.82351570679927</c:v>
                </c:pt>
                <c:pt idx="78">
                  <c:v>31.09650781941545</c:v>
                </c:pt>
                <c:pt idx="79">
                  <c:v>30.493767431231234</c:v>
                </c:pt>
                <c:pt idx="80">
                  <c:v>30.013779451829976</c:v>
                </c:pt>
                <c:pt idx="81">
                  <c:v>29.654825714317326</c:v>
                </c:pt>
                <c:pt idx="82">
                  <c:v>29.414989414015082</c:v>
                </c:pt>
                <c:pt idx="83">
                  <c:v>29.292142534988614</c:v>
                </c:pt>
                <c:pt idx="84">
                  <c:v>29.283916440282496</c:v>
                </c:pt>
                <c:pt idx="85">
                  <c:v>29.387656296756191</c:v>
                </c:pt>
                <c:pt idx="86">
                  <c:v>29.600360564496441</c:v>
                </c:pt>
                <c:pt idx="87">
                  <c:v>29.918607441559388</c:v>
                </c:pt>
                <c:pt idx="88">
                  <c:v>30.338470938383736</c:v>
                </c:pt>
                <c:pt idx="89">
                  <c:v>30.855430159018198</c:v>
                </c:pt>
                <c:pt idx="90">
                  <c:v>31.464276351557174</c:v>
                </c:pt>
                <c:pt idx="91">
                  <c:v>32.159023281046444</c:v>
                </c:pt>
                <c:pt idx="92">
                  <c:v>32.932827355045887</c:v>
                </c:pt>
                <c:pt idx="93">
                  <c:v>33.777924537285372</c:v>
                </c:pt>
                <c:pt idx="94">
                  <c:v>34.685591238117539</c:v>
                </c:pt>
                <c:pt idx="95">
                  <c:v>35.64613589665467</c:v>
                </c:pt>
                <c:pt idx="96">
                  <c:v>36.648926737712515</c:v>
                </c:pt>
                <c:pt idx="97">
                  <c:v>37.682459154545413</c:v>
                </c:pt>
                <c:pt idx="98">
                  <c:v>38.73446342021677</c:v>
                </c:pt>
                <c:pt idx="99">
                  <c:v>39.792050196783535</c:v>
                </c:pt>
                <c:pt idx="100">
                  <c:v>40.841887956435642</c:v>
                </c:pt>
                <c:pt idx="101">
                  <c:v>41.870403400563788</c:v>
                </c:pt>
                <c:pt idx="102">
                  <c:v>42.863993713163836</c:v>
                </c:pt>
                <c:pt idx="103">
                  <c:v>43.809238374909029</c:v>
                </c:pt>
                <c:pt idx="104">
                  <c:v>44.693098482306482</c:v>
                </c:pt>
                <c:pt idx="105">
                  <c:v>45.503093034235945</c:v>
                </c:pt>
                <c:pt idx="106">
                  <c:v>46.227444227112485</c:v>
                </c:pt>
                <c:pt idx="107">
                  <c:v>46.855187046404708</c:v>
                </c:pt>
                <c:pt idx="108">
                  <c:v>47.376241894842479</c:v>
                </c:pt>
                <c:pt idx="109">
                  <c:v>47.781452219609534</c:v>
                </c:pt>
                <c:pt idx="110">
                  <c:v>48.062591753603684</c:v>
                </c:pt>
                <c:pt idx="111">
                  <c:v>48.212347868682158</c:v>
                </c:pt>
                <c:pt idx="112">
                  <c:v>48.22428859163378</c:v>
                </c:pt>
                <c:pt idx="113">
                  <c:v>48.092821111064566</c:v>
                </c:pt>
                <c:pt idx="114">
                  <c:v>47.813149233323969</c:v>
                </c:pt>
                <c:pt idx="115">
                  <c:v>47.381236385478815</c:v>
                </c:pt>
                <c:pt idx="116">
                  <c:v>46.793779564397127</c:v>
                </c:pt>
                <c:pt idx="117">
                  <c:v>46.048198215239935</c:v>
                </c:pt>
                <c:pt idx="118">
                  <c:v>45.142640473807916</c:v>
                </c:pt>
                <c:pt idx="119">
                  <c:v>44.076007573326279</c:v>
                </c:pt>
                <c:pt idx="120">
                  <c:v>42.847995521325416</c:v>
                </c:pt>
                <c:pt idx="121">
                  <c:v>41.459151413057029</c:v>
                </c:pt>
                <c:pt idx="122">
                  <c:v>39.910939993134562</c:v>
                </c:pt>
                <c:pt idx="123">
                  <c:v>38.205814366013485</c:v>
                </c:pt>
                <c:pt idx="124">
                  <c:v>36.347283192386229</c:v>
                </c:pt>
                <c:pt idx="125">
                  <c:v>34.33996544745267</c:v>
                </c:pt>
                <c:pt idx="126">
                  <c:v>32.189623058775723</c:v>
                </c:pt>
                <c:pt idx="127">
                  <c:v>29.903161711689606</c:v>
                </c:pt>
                <c:pt idx="128">
                  <c:v>27.48859102373963</c:v>
                </c:pt>
                <c:pt idx="129">
                  <c:v>24.954937301315141</c:v>
                </c:pt>
                <c:pt idx="130">
                  <c:v>22.312105242691203</c:v>
                </c:pt>
                <c:pt idx="131">
                  <c:v>19.570689122541125</c:v>
                </c:pt>
                <c:pt idx="132">
                  <c:v>16.741738877430421</c:v>
                </c:pt>
                <c:pt idx="133">
                  <c:v>13.836491623665765</c:v>
                </c:pt>
                <c:pt idx="134">
                  <c:v>10.866083857685567</c:v>
                </c:pt>
                <c:pt idx="135">
                  <c:v>7.8412632411268248</c:v>
                </c:pt>
                <c:pt idx="136">
                  <c:v>4.7721208359801324</c:v>
                </c:pt>
                <c:pt idx="137">
                  <c:v>1.667864470990196</c:v>
                </c:pt>
                <c:pt idx="138">
                  <c:v>-1.4633486104930569</c:v>
                </c:pt>
                <c:pt idx="139">
                  <c:v>-4.6145064262833273</c:v>
                </c:pt>
                <c:pt idx="140">
                  <c:v>-7.7797573837899989</c:v>
                </c:pt>
                <c:pt idx="141">
                  <c:v>-10.954346541427839</c:v>
                </c:pt>
                <c:pt idx="142">
                  <c:v>-14.134481338437482</c:v>
                </c:pt>
                <c:pt idx="143">
                  <c:v>-17.317141925363018</c:v>
                </c:pt>
                <c:pt idx="144">
                  <c:v>-20.499856319406263</c:v>
                </c:pt>
                <c:pt idx="145">
                  <c:v>-23.680463396169884</c:v>
                </c:pt>
                <c:pt idx="146">
                  <c:v>-26.856886939797121</c:v>
                </c:pt>
                <c:pt idx="147">
                  <c:v>-30.02694168031843</c:v>
                </c:pt>
                <c:pt idx="148">
                  <c:v>-33.188187830109129</c:v>
                </c:pt>
                <c:pt idx="149">
                  <c:v>-36.33784470009482</c:v>
                </c:pt>
                <c:pt idx="150">
                  <c:v>-39.472767276093506</c:v>
                </c:pt>
                <c:pt idx="151">
                  <c:v>-42.589482951901005</c:v>
                </c:pt>
                <c:pt idx="152">
                  <c:v>-45.684279684447191</c:v>
                </c:pt>
                <c:pt idx="153">
                  <c:v>-48.753332262363912</c:v>
                </c:pt>
                <c:pt idx="154">
                  <c:v>-51.79285056760645</c:v>
                </c:pt>
                <c:pt idx="155">
                  <c:v>-54.799232818855188</c:v>
                </c:pt>
                <c:pt idx="156">
                  <c:v>-57.769207715462926</c:v>
                </c:pt>
                <c:pt idx="157">
                  <c:v>-60.699951823707082</c:v>
                </c:pt>
                <c:pt idx="158">
                  <c:v>-63.589171977360536</c:v>
                </c:pt>
                <c:pt idx="159">
                  <c:v>-66.435146354922068</c:v>
                </c:pt>
                <c:pt idx="160">
                  <c:v>-69.236721736084718</c:v>
                </c:pt>
                <c:pt idx="161">
                  <c:v>-71.993267836202293</c:v>
                </c:pt>
                <c:pt idx="162">
                  <c:v>-74.704592334888318</c:v>
                </c:pt>
                <c:pt idx="163">
                  <c:v>-77.370822182511873</c:v>
                </c:pt>
                <c:pt idx="164">
                  <c:v>280.00774194986548</c:v>
                </c:pt>
                <c:pt idx="165">
                  <c:v>277.43079046494836</c:v>
                </c:pt>
                <c:pt idx="166">
                  <c:v>274.89818087168021</c:v>
                </c:pt>
                <c:pt idx="167">
                  <c:v>272.41011684188481</c:v>
                </c:pt>
                <c:pt idx="168">
                  <c:v>269.96732194529528</c:v>
                </c:pt>
                <c:pt idx="169">
                  <c:v>267.57119962595414</c:v>
                </c:pt>
                <c:pt idx="170">
                  <c:v>265.22397097931787</c:v>
                </c:pt>
                <c:pt idx="171">
                  <c:v>262.9287820913089</c:v>
                </c:pt>
                <c:pt idx="172">
                  <c:v>260.68977327016518</c:v>
                </c:pt>
                <c:pt idx="173">
                  <c:v>258.51210360528512</c:v>
                </c:pt>
                <c:pt idx="174">
                  <c:v>256.40192604479898</c:v>
                </c:pt>
                <c:pt idx="175">
                  <c:v>254.36631062061747</c:v>
                </c:pt>
                <c:pt idx="176">
                  <c:v>252.4131164589765</c:v>
                </c:pt>
                <c:pt idx="177">
                  <c:v>250.55081654474671</c:v>
                </c:pt>
                <c:pt idx="178">
                  <c:v>248.78828248823493</c:v>
                </c:pt>
                <c:pt idx="179">
                  <c:v>247.13453934539996</c:v>
                </c:pt>
                <c:pt idx="180">
                  <c:v>245.59850246846327</c:v>
                </c:pt>
                <c:pt idx="181">
                  <c:v>244.18870913919312</c:v>
                </c:pt>
                <c:pt idx="182">
                  <c:v>242.91305728027601</c:v>
                </c:pt>
                <c:pt idx="183">
                  <c:v>241.77856198839231</c:v>
                </c:pt>
                <c:pt idx="184">
                  <c:v>240.7911383125977</c:v>
                </c:pt>
                <c:pt idx="185">
                  <c:v>239.9554160552253</c:v>
                </c:pt>
                <c:pt idx="186">
                  <c:v>239.2745898571722</c:v>
                </c:pt>
                <c:pt idx="187">
                  <c:v>238.75030582167517</c:v>
                </c:pt>
                <c:pt idx="188">
                  <c:v>238.38258465493789</c:v>
                </c:pt>
                <c:pt idx="189">
                  <c:v>238.16978079795962</c:v>
                </c:pt>
                <c:pt idx="190">
                  <c:v>238.1085771537671</c:v>
                </c:pt>
                <c:pt idx="191">
                  <c:v>238.19401550295598</c:v>
                </c:pt>
                <c:pt idx="192">
                  <c:v>238.41956319836109</c:v>
                </c:pt>
                <c:pt idx="193">
                  <c:v>238.77721688623006</c:v>
                </c:pt>
                <c:pt idx="194">
                  <c:v>239.25764353846961</c:v>
                </c:pt>
                <c:pt idx="195">
                  <c:v>239.85035785614838</c:v>
                </c:pt>
                <c:pt idx="196">
                  <c:v>240.54393315292864</c:v>
                </c:pt>
                <c:pt idx="197">
                  <c:v>241.32624036783147</c:v>
                </c:pt>
                <c:pt idx="198">
                  <c:v>242.18470726214767</c:v>
                </c:pt>
                <c:pt idx="199">
                  <c:v>243.10658758067297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0991064"/>
        <c:axId val="520991456"/>
      </c:scatterChart>
      <c:valAx>
        <c:axId val="520991064"/>
        <c:scaling>
          <c:logBase val="10"/>
          <c:orientation val="minMax"/>
          <c:min val="10"/>
        </c:scaling>
        <c:delete val="0"/>
        <c:axPos val="b"/>
        <c:minorGridlines/>
        <c:numFmt formatCode="General" sourceLinked="1"/>
        <c:majorTickMark val="out"/>
        <c:minorTickMark val="none"/>
        <c:tickLblPos val="nextTo"/>
        <c:crossAx val="520991456"/>
        <c:crosses val="autoZero"/>
        <c:crossBetween val="midCat"/>
      </c:valAx>
      <c:valAx>
        <c:axId val="520991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09910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|Vloop</a:t>
            </a:r>
            <a:r>
              <a:rPr lang="en-US" baseline="0"/>
              <a:t>|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'9. Loop Compensation'!$AS$1</c:f>
              <c:strCache>
                <c:ptCount val="1"/>
                <c:pt idx="0">
                  <c:v>db</c:v>
                </c:pt>
              </c:strCache>
            </c:strRef>
          </c:tx>
          <c:marker>
            <c:symbol val="none"/>
          </c:marker>
          <c:xVal>
            <c:numRef>
              <c:f>'9. Loop Compensation'!$Z$2:$Z$200</c:f>
              <c:numCache>
                <c:formatCode>General</c:formatCode>
                <c:ptCount val="199"/>
                <c:pt idx="0">
                  <c:v>1</c:v>
                </c:pt>
                <c:pt idx="1">
                  <c:v>1.0715193052376064</c:v>
                </c:pt>
                <c:pt idx="2">
                  <c:v>1.1481536214968828</c:v>
                </c:pt>
                <c:pt idx="3">
                  <c:v>1.2302687708123814</c:v>
                </c:pt>
                <c:pt idx="4">
                  <c:v>1.318256738556407</c:v>
                </c:pt>
                <c:pt idx="5">
                  <c:v>1.4125375446227544</c:v>
                </c:pt>
                <c:pt idx="6">
                  <c:v>1.513561248436208</c:v>
                </c:pt>
                <c:pt idx="7">
                  <c:v>1.6218100973589298</c:v>
                </c:pt>
                <c:pt idx="8">
                  <c:v>1.7378008287493754</c:v>
                </c:pt>
                <c:pt idx="9">
                  <c:v>1.8620871366628673</c:v>
                </c:pt>
                <c:pt idx="10">
                  <c:v>1.9952623149688797</c:v>
                </c:pt>
                <c:pt idx="11">
                  <c:v>2.1379620895022318</c:v>
                </c:pt>
                <c:pt idx="12">
                  <c:v>2.2908676527677727</c:v>
                </c:pt>
                <c:pt idx="13">
                  <c:v>2.4547089156850301</c:v>
                </c:pt>
                <c:pt idx="14">
                  <c:v>2.6302679918953817</c:v>
                </c:pt>
                <c:pt idx="15">
                  <c:v>2.8183829312644537</c:v>
                </c:pt>
                <c:pt idx="16">
                  <c:v>3.0199517204020156</c:v>
                </c:pt>
                <c:pt idx="17">
                  <c:v>3.2359365692962818</c:v>
                </c:pt>
                <c:pt idx="18">
                  <c:v>3.4673685045253162</c:v>
                </c:pt>
                <c:pt idx="19">
                  <c:v>3.7153522909717256</c:v>
                </c:pt>
                <c:pt idx="20">
                  <c:v>3.9810717055349727</c:v>
                </c:pt>
                <c:pt idx="21">
                  <c:v>4.2657951880159262</c:v>
                </c:pt>
                <c:pt idx="22">
                  <c:v>4.570881896148749</c:v>
                </c:pt>
                <c:pt idx="23">
                  <c:v>4.8977881936844616</c:v>
                </c:pt>
                <c:pt idx="24">
                  <c:v>5.2480746024977245</c:v>
                </c:pt>
                <c:pt idx="25">
                  <c:v>5.6234132519034903</c:v>
                </c:pt>
                <c:pt idx="26">
                  <c:v>6.0255958607435751</c:v>
                </c:pt>
                <c:pt idx="27">
                  <c:v>6.4565422903465537</c:v>
                </c:pt>
                <c:pt idx="28">
                  <c:v>6.9183097091893631</c:v>
                </c:pt>
                <c:pt idx="29">
                  <c:v>7.4131024130091765</c:v>
                </c:pt>
                <c:pt idx="30">
                  <c:v>7.943282347242814</c:v>
                </c:pt>
                <c:pt idx="31">
                  <c:v>8.5113803820237646</c:v>
                </c:pt>
                <c:pt idx="32">
                  <c:v>9.1201083935590948</c:v>
                </c:pt>
                <c:pt idx="33">
                  <c:v>9.7723722095581049</c:v>
                </c:pt>
                <c:pt idx="34">
                  <c:v>10.471285480508991</c:v>
                </c:pt>
                <c:pt idx="35">
                  <c:v>11.220184543019631</c:v>
                </c:pt>
                <c:pt idx="36">
                  <c:v>12.022644346174127</c:v>
                </c:pt>
                <c:pt idx="37">
                  <c:v>12.882495516931341</c:v>
                </c:pt>
                <c:pt idx="38">
                  <c:v>13.803842646028851</c:v>
                </c:pt>
                <c:pt idx="39">
                  <c:v>14.791083881682074</c:v>
                </c:pt>
                <c:pt idx="40">
                  <c:v>15.848931924611136</c:v>
                </c:pt>
                <c:pt idx="41">
                  <c:v>16.982436524617441</c:v>
                </c:pt>
                <c:pt idx="42">
                  <c:v>18.197008586099834</c:v>
                </c:pt>
                <c:pt idx="43">
                  <c:v>19.498445997580447</c:v>
                </c:pt>
                <c:pt idx="44">
                  <c:v>20.892961308540382</c:v>
                </c:pt>
                <c:pt idx="45">
                  <c:v>22.387211385683386</c:v>
                </c:pt>
                <c:pt idx="46">
                  <c:v>23.988329190194897</c:v>
                </c:pt>
                <c:pt idx="47">
                  <c:v>25.703957827688622</c:v>
                </c:pt>
                <c:pt idx="48">
                  <c:v>27.542287033381651</c:v>
                </c:pt>
                <c:pt idx="49">
                  <c:v>29.512092266663849</c:v>
                </c:pt>
                <c:pt idx="50">
                  <c:v>31.622776601683789</c:v>
                </c:pt>
                <c:pt idx="51">
                  <c:v>33.884415613920254</c:v>
                </c:pt>
                <c:pt idx="52">
                  <c:v>36.307805477010106</c:v>
                </c:pt>
                <c:pt idx="53">
                  <c:v>38.904514499428039</c:v>
                </c:pt>
                <c:pt idx="54">
                  <c:v>41.686938347033525</c:v>
                </c:pt>
                <c:pt idx="55">
                  <c:v>44.668359215096302</c:v>
                </c:pt>
                <c:pt idx="56">
                  <c:v>47.863009232263813</c:v>
                </c:pt>
                <c:pt idx="57">
                  <c:v>51.286138399136469</c:v>
                </c:pt>
                <c:pt idx="58">
                  <c:v>54.95408738576247</c:v>
                </c:pt>
                <c:pt idx="59">
                  <c:v>58.884365535558892</c:v>
                </c:pt>
                <c:pt idx="60">
                  <c:v>63.095734448019307</c:v>
                </c:pt>
                <c:pt idx="61">
                  <c:v>67.608297539198134</c:v>
                </c:pt>
                <c:pt idx="62">
                  <c:v>72.443596007499011</c:v>
                </c:pt>
                <c:pt idx="63">
                  <c:v>77.624711662869146</c:v>
                </c:pt>
                <c:pt idx="64">
                  <c:v>83.176377110267055</c:v>
                </c:pt>
                <c:pt idx="65">
                  <c:v>89.125093813374562</c:v>
                </c:pt>
                <c:pt idx="66">
                  <c:v>95.49925860214357</c:v>
                </c:pt>
                <c:pt idx="67">
                  <c:v>102.32929922807544</c:v>
                </c:pt>
                <c:pt idx="68">
                  <c:v>109.64781961431841</c:v>
                </c:pt>
                <c:pt idx="69">
                  <c:v>117.48975549395293</c:v>
                </c:pt>
                <c:pt idx="70">
                  <c:v>125.89254117941665</c:v>
                </c:pt>
                <c:pt idx="71">
                  <c:v>134.89628825916537</c:v>
                </c:pt>
                <c:pt idx="72">
                  <c:v>144.54397707459273</c:v>
                </c:pt>
                <c:pt idx="73">
                  <c:v>154.88166189124806</c:v>
                </c:pt>
                <c:pt idx="74">
                  <c:v>165.95869074375608</c:v>
                </c:pt>
                <c:pt idx="75">
                  <c:v>177.82794100389225</c:v>
                </c:pt>
                <c:pt idx="76">
                  <c:v>190.54607179632481</c:v>
                </c:pt>
                <c:pt idx="77">
                  <c:v>204.17379446695278</c:v>
                </c:pt>
                <c:pt idx="78">
                  <c:v>218.77616239495524</c:v>
                </c:pt>
                <c:pt idx="79">
                  <c:v>234.42288153199212</c:v>
                </c:pt>
                <c:pt idx="80">
                  <c:v>251.18864315095806</c:v>
                </c:pt>
                <c:pt idx="81">
                  <c:v>269.15348039269156</c:v>
                </c:pt>
                <c:pt idx="82">
                  <c:v>288.4031503126605</c:v>
                </c:pt>
                <c:pt idx="83">
                  <c:v>309.02954325135909</c:v>
                </c:pt>
                <c:pt idx="84">
                  <c:v>331.13112148259108</c:v>
                </c:pt>
                <c:pt idx="85">
                  <c:v>354.81338923357566</c:v>
                </c:pt>
                <c:pt idx="86">
                  <c:v>380.18939632056095</c:v>
                </c:pt>
                <c:pt idx="87">
                  <c:v>407.38027780411232</c:v>
                </c:pt>
                <c:pt idx="88">
                  <c:v>436.51583224016542</c:v>
                </c:pt>
                <c:pt idx="89">
                  <c:v>467.73514128719791</c:v>
                </c:pt>
                <c:pt idx="90">
                  <c:v>501.18723362727184</c:v>
                </c:pt>
                <c:pt idx="91">
                  <c:v>537.03179637025255</c:v>
                </c:pt>
                <c:pt idx="92">
                  <c:v>575.43993733715661</c:v>
                </c:pt>
                <c:pt idx="93">
                  <c:v>616.59500186148216</c:v>
                </c:pt>
                <c:pt idx="94">
                  <c:v>660.69344800759518</c:v>
                </c:pt>
                <c:pt idx="95">
                  <c:v>707.94578438413748</c:v>
                </c:pt>
                <c:pt idx="96">
                  <c:v>758.57757502918309</c:v>
                </c:pt>
                <c:pt idx="97">
                  <c:v>812.8305161640983</c:v>
                </c:pt>
                <c:pt idx="98">
                  <c:v>870.96358995608011</c:v>
                </c:pt>
                <c:pt idx="99">
                  <c:v>933.25430079699026</c:v>
                </c:pt>
                <c:pt idx="100">
                  <c:v>999.99999999999977</c:v>
                </c:pt>
                <c:pt idx="101">
                  <c:v>1071.5193052376057</c:v>
                </c:pt>
                <c:pt idx="102">
                  <c:v>1148.1536214968828</c:v>
                </c:pt>
                <c:pt idx="103">
                  <c:v>1230.2687708123801</c:v>
                </c:pt>
                <c:pt idx="104">
                  <c:v>1318.2567385564053</c:v>
                </c:pt>
                <c:pt idx="105">
                  <c:v>1412.5375446227531</c:v>
                </c:pt>
                <c:pt idx="106">
                  <c:v>1513.5612484362066</c:v>
                </c:pt>
                <c:pt idx="107">
                  <c:v>1621.8100973589292</c:v>
                </c:pt>
                <c:pt idx="108">
                  <c:v>1737.8008287493742</c:v>
                </c:pt>
                <c:pt idx="109">
                  <c:v>1862.0871366628671</c:v>
                </c:pt>
                <c:pt idx="110">
                  <c:v>1995.2623149688786</c:v>
                </c:pt>
                <c:pt idx="111">
                  <c:v>2137.9620895022326</c:v>
                </c:pt>
                <c:pt idx="112">
                  <c:v>2290.8676527677708</c:v>
                </c:pt>
                <c:pt idx="113">
                  <c:v>2454.708915685027</c:v>
                </c:pt>
                <c:pt idx="114">
                  <c:v>2630.26799189538</c:v>
                </c:pt>
                <c:pt idx="115">
                  <c:v>2818.3829312644511</c:v>
                </c:pt>
                <c:pt idx="116">
                  <c:v>3019.9517204020176</c:v>
                </c:pt>
                <c:pt idx="117">
                  <c:v>3235.9365692962774</c:v>
                </c:pt>
                <c:pt idx="118">
                  <c:v>3467.368504525316</c:v>
                </c:pt>
                <c:pt idx="119">
                  <c:v>3715.352290971724</c:v>
                </c:pt>
                <c:pt idx="120">
                  <c:v>3981.0717055349701</c:v>
                </c:pt>
                <c:pt idx="121">
                  <c:v>4265.7951880159226</c:v>
                </c:pt>
                <c:pt idx="122">
                  <c:v>4570.881896148745</c:v>
                </c:pt>
                <c:pt idx="123">
                  <c:v>4897.7881936844633</c:v>
                </c:pt>
                <c:pt idx="124">
                  <c:v>5248.0746024977261</c:v>
                </c:pt>
                <c:pt idx="125">
                  <c:v>5623.4132519034893</c:v>
                </c:pt>
                <c:pt idx="126">
                  <c:v>6025.5958607435741</c:v>
                </c:pt>
                <c:pt idx="127">
                  <c:v>6456.5422903465496</c:v>
                </c:pt>
                <c:pt idx="128">
                  <c:v>6918.3097091893569</c:v>
                </c:pt>
                <c:pt idx="129">
                  <c:v>7413.1024130091646</c:v>
                </c:pt>
                <c:pt idx="130">
                  <c:v>7943.2823472428154</c:v>
                </c:pt>
                <c:pt idx="131">
                  <c:v>8511.3803820237626</c:v>
                </c:pt>
                <c:pt idx="132">
                  <c:v>9120.1083935590923</c:v>
                </c:pt>
                <c:pt idx="133">
                  <c:v>9772.3722095580997</c:v>
                </c:pt>
                <c:pt idx="134">
                  <c:v>10471.285480509003</c:v>
                </c:pt>
                <c:pt idx="135">
                  <c:v>11220.184543019639</c:v>
                </c:pt>
                <c:pt idx="136">
                  <c:v>12022.644346174109</c:v>
                </c:pt>
                <c:pt idx="137">
                  <c:v>12882.495516931338</c:v>
                </c:pt>
                <c:pt idx="138">
                  <c:v>13803.842646028841</c:v>
                </c:pt>
                <c:pt idx="139">
                  <c:v>14791.083881682063</c:v>
                </c:pt>
                <c:pt idx="140">
                  <c:v>15848.931924611119</c:v>
                </c:pt>
                <c:pt idx="141">
                  <c:v>16982.436524617453</c:v>
                </c:pt>
                <c:pt idx="142">
                  <c:v>18197.008586099837</c:v>
                </c:pt>
                <c:pt idx="143">
                  <c:v>19498.445997580417</c:v>
                </c:pt>
                <c:pt idx="144">
                  <c:v>20892.961308540387</c:v>
                </c:pt>
                <c:pt idx="145">
                  <c:v>22387.211385683382</c:v>
                </c:pt>
                <c:pt idx="146">
                  <c:v>23988.32919019488</c:v>
                </c:pt>
                <c:pt idx="147">
                  <c:v>25703.957827688606</c:v>
                </c:pt>
                <c:pt idx="148">
                  <c:v>27542.287033381672</c:v>
                </c:pt>
                <c:pt idx="149">
                  <c:v>29512.092266663854</c:v>
                </c:pt>
                <c:pt idx="150">
                  <c:v>31622.776601683781</c:v>
                </c:pt>
                <c:pt idx="151">
                  <c:v>33884.415613920231</c:v>
                </c:pt>
                <c:pt idx="152">
                  <c:v>36307.805477010166</c:v>
                </c:pt>
                <c:pt idx="153">
                  <c:v>38904.514499428085</c:v>
                </c:pt>
                <c:pt idx="154">
                  <c:v>41686.93834703348</c:v>
                </c:pt>
                <c:pt idx="155">
                  <c:v>44668.359215096309</c:v>
                </c:pt>
                <c:pt idx="156">
                  <c:v>47863.009232263823</c:v>
                </c:pt>
                <c:pt idx="157">
                  <c:v>51286.138399136456</c:v>
                </c:pt>
                <c:pt idx="158">
                  <c:v>54954.08738576241</c:v>
                </c:pt>
                <c:pt idx="159">
                  <c:v>58884.365535558936</c:v>
                </c:pt>
                <c:pt idx="160">
                  <c:v>63095.734448019342</c:v>
                </c:pt>
                <c:pt idx="161">
                  <c:v>67608.297539198174</c:v>
                </c:pt>
                <c:pt idx="162">
                  <c:v>72443.596007498985</c:v>
                </c:pt>
                <c:pt idx="163">
                  <c:v>77624.711662869129</c:v>
                </c:pt>
                <c:pt idx="164">
                  <c:v>83176.377110267029</c:v>
                </c:pt>
                <c:pt idx="165">
                  <c:v>89125.093813374449</c:v>
                </c:pt>
                <c:pt idx="166">
                  <c:v>95499.258602143629</c:v>
                </c:pt>
                <c:pt idx="167">
                  <c:v>102329.29922807543</c:v>
                </c:pt>
                <c:pt idx="168">
                  <c:v>109647.81961431848</c:v>
                </c:pt>
                <c:pt idx="169">
                  <c:v>117489.75549395289</c:v>
                </c:pt>
                <c:pt idx="170">
                  <c:v>125892.54117941685</c:v>
                </c:pt>
                <c:pt idx="171">
                  <c:v>134896.28825916522</c:v>
                </c:pt>
                <c:pt idx="172">
                  <c:v>144543.97707459255</c:v>
                </c:pt>
                <c:pt idx="173">
                  <c:v>154881.66189124787</c:v>
                </c:pt>
                <c:pt idx="174">
                  <c:v>165958.69074375575</c:v>
                </c:pt>
                <c:pt idx="175">
                  <c:v>177827.94100389219</c:v>
                </c:pt>
                <c:pt idx="176">
                  <c:v>190546.07179632425</c:v>
                </c:pt>
                <c:pt idx="177">
                  <c:v>204173.79446695274</c:v>
                </c:pt>
                <c:pt idx="178">
                  <c:v>218776.16239495497</c:v>
                </c:pt>
                <c:pt idx="179">
                  <c:v>234422.88153199226</c:v>
                </c:pt>
                <c:pt idx="180">
                  <c:v>251188.64315095753</c:v>
                </c:pt>
                <c:pt idx="181">
                  <c:v>269153.48039269098</c:v>
                </c:pt>
                <c:pt idx="182">
                  <c:v>288403.15031266044</c:v>
                </c:pt>
                <c:pt idx="183">
                  <c:v>309029.54325135821</c:v>
                </c:pt>
                <c:pt idx="184">
                  <c:v>331131.12148259068</c:v>
                </c:pt>
                <c:pt idx="185">
                  <c:v>354813.38923357491</c:v>
                </c:pt>
                <c:pt idx="186">
                  <c:v>380189.39632056118</c:v>
                </c:pt>
                <c:pt idx="187">
                  <c:v>407380.27780411189</c:v>
                </c:pt>
                <c:pt idx="188">
                  <c:v>436515.83224016492</c:v>
                </c:pt>
                <c:pt idx="189">
                  <c:v>467735.14128719777</c:v>
                </c:pt>
                <c:pt idx="190">
                  <c:v>501187.23362727172</c:v>
                </c:pt>
                <c:pt idx="191">
                  <c:v>537031.79637025192</c:v>
                </c:pt>
                <c:pt idx="192">
                  <c:v>575439.93733715592</c:v>
                </c:pt>
                <c:pt idx="193">
                  <c:v>616595.00186148204</c:v>
                </c:pt>
                <c:pt idx="194">
                  <c:v>660693.44800759444</c:v>
                </c:pt>
                <c:pt idx="195">
                  <c:v>707945.78438413737</c:v>
                </c:pt>
                <c:pt idx="196">
                  <c:v>758577.57502918295</c:v>
                </c:pt>
                <c:pt idx="197">
                  <c:v>812830.51616409956</c:v>
                </c:pt>
                <c:pt idx="198">
                  <c:v>870963.58995607914</c:v>
                </c:pt>
              </c:numCache>
            </c:numRef>
          </c:xVal>
          <c:yVal>
            <c:numRef>
              <c:f>'9. Loop Compensation'!$AS$2:$AS$200</c:f>
              <c:numCache>
                <c:formatCode>General</c:formatCode>
                <c:ptCount val="199"/>
                <c:pt idx="0">
                  <c:v>75.840536499263365</c:v>
                </c:pt>
                <c:pt idx="1">
                  <c:v>75.837649925407021</c:v>
                </c:pt>
                <c:pt idx="2">
                  <c:v>75.834337826693414</c:v>
                </c:pt>
                <c:pt idx="3">
                  <c:v>75.830537834368428</c:v>
                </c:pt>
                <c:pt idx="4">
                  <c:v>75.826178552042123</c:v>
                </c:pt>
                <c:pt idx="5">
                  <c:v>75.821178284791813</c:v>
                </c:pt>
                <c:pt idx="6">
                  <c:v>75.815443600631141</c:v>
                </c:pt>
                <c:pt idx="7">
                  <c:v>75.808867705815601</c:v>
                </c:pt>
                <c:pt idx="8">
                  <c:v>75.801328614578679</c:v>
                </c:pt>
                <c:pt idx="9">
                  <c:v>75.79268709342324</c:v>
                </c:pt>
                <c:pt idx="10">
                  <c:v>75.782784360215047</c:v>
                </c:pt>
                <c:pt idx="11">
                  <c:v>75.771439519300884</c:v>
                </c:pt>
                <c:pt idx="12">
                  <c:v>75.758446716023414</c:v>
                </c:pt>
                <c:pt idx="13">
                  <c:v>75.743571997727216</c:v>
                </c:pt>
                <c:pt idx="14">
                  <c:v>75.726549874145419</c:v>
                </c:pt>
                <c:pt idx="15">
                  <c:v>75.707079578493989</c:v>
                </c:pt>
                <c:pt idx="16">
                  <c:v>75.684821042372405</c:v>
                </c:pt>
                <c:pt idx="17">
                  <c:v>75.659390613395601</c:v>
                </c:pt>
                <c:pt idx="18">
                  <c:v>75.630356565164718</c:v>
                </c:pt>
                <c:pt idx="19">
                  <c:v>75.597234475434846</c:v>
                </c:pt>
                <c:pt idx="20">
                  <c:v>75.559482580765163</c:v>
                </c:pt>
                <c:pt idx="21">
                  <c:v>75.516497254796676</c:v>
                </c:pt>
                <c:pt idx="22">
                  <c:v>75.467608802325117</c:v>
                </c:pt>
                <c:pt idx="23">
                  <c:v>75.412077811399797</c:v>
                </c:pt>
                <c:pt idx="24">
                  <c:v>75.349092358460723</c:v>
                </c:pt>
                <c:pt idx="25">
                  <c:v>75.277766413121796</c:v>
                </c:pt>
                <c:pt idx="26">
                  <c:v>75.197139833782614</c:v>
                </c:pt>
                <c:pt idx="27">
                  <c:v>75.106180374829421</c:v>
                </c:pt>
                <c:pt idx="28">
                  <c:v>75.003788130757627</c:v>
                </c:pt>
                <c:pt idx="29">
                  <c:v>74.888802810615431</c:v>
                </c:pt>
                <c:pt idx="30">
                  <c:v>74.760014156021214</c:v>
                </c:pt>
                <c:pt idx="31">
                  <c:v>74.616175677750178</c:v>
                </c:pt>
                <c:pt idx="32">
                  <c:v>74.456021684266943</c:v>
                </c:pt>
                <c:pt idx="33">
                  <c:v>74.278287313295721</c:v>
                </c:pt>
                <c:pt idx="34">
                  <c:v>74.081730968326411</c:v>
                </c:pt>
                <c:pt idx="35">
                  <c:v>73.8651582326479</c:v>
                </c:pt>
                <c:pt idx="36">
                  <c:v>73.627446023540671</c:v>
                </c:pt>
                <c:pt idx="37">
                  <c:v>73.367565507130564</c:v>
                </c:pt>
                <c:pt idx="38">
                  <c:v>73.084602170300755</c:v>
                </c:pt>
                <c:pt idx="39">
                  <c:v>72.777771481894121</c:v>
                </c:pt>
                <c:pt idx="40">
                  <c:v>72.446428794060608</c:v>
                </c:pt>
                <c:pt idx="41">
                  <c:v>72.090072531454268</c:v>
                </c:pt>
                <c:pt idx="42">
                  <c:v>71.708340255982648</c:v>
                </c:pt>
                <c:pt idx="43">
                  <c:v>71.300997816387337</c:v>
                </c:pt>
                <c:pt idx="44">
                  <c:v>70.867922417744921</c:v>
                </c:pt>
                <c:pt idx="45">
                  <c:v>70.409080997655593</c:v>
                </c:pt>
                <c:pt idx="46">
                  <c:v>69.924505708743368</c:v>
                </c:pt>
                <c:pt idx="47">
                  <c:v>69.414268540627162</c:v>
                </c:pt>
                <c:pt idx="48">
                  <c:v>68.878457156277761</c:v>
                </c:pt>
                <c:pt idx="49">
                  <c:v>68.317153880281495</c:v>
                </c:pt>
                <c:pt idx="50">
                  <c:v>67.730419489832741</c:v>
                </c:pt>
                <c:pt idx="51">
                  <c:v>67.118283060929301</c:v>
                </c:pt>
                <c:pt idx="52">
                  <c:v>66.480738649766522</c:v>
                </c:pt>
                <c:pt idx="53">
                  <c:v>65.817749075684091</c:v>
                </c:pt>
                <c:pt idx="54">
                  <c:v>65.129256545401603</c:v>
                </c:pt>
                <c:pt idx="55">
                  <c:v>64.415199344853789</c:v>
                </c:pt>
                <c:pt idx="56">
                  <c:v>63.675533352901169</c:v>
                </c:pt>
                <c:pt idx="57">
                  <c:v>62.91025673353677</c:v>
                </c:pt>
                <c:pt idx="58">
                  <c:v>62.119435877465861</c:v>
                </c:pt>
                <c:pt idx="59">
                  <c:v>61.303230527727244</c:v>
                </c:pt>
                <c:pt idx="60">
                  <c:v>60.461916067180198</c:v>
                </c:pt>
                <c:pt idx="61">
                  <c:v>59.595901180710555</c:v>
                </c:pt>
                <c:pt idx="62">
                  <c:v>58.705739519369999</c:v>
                </c:pt>
                <c:pt idx="63">
                  <c:v>57.792134546726174</c:v>
                </c:pt>
                <c:pt idx="64">
                  <c:v>56.855937374686121</c:v>
                </c:pt>
                <c:pt idx="65">
                  <c:v>55.898138018529075</c:v>
                </c:pt>
                <c:pt idx="66">
                  <c:v>54.919851041483284</c:v>
                </c:pt>
                <c:pt idx="67">
                  <c:v>53.922296956338378</c:v>
                </c:pt>
                <c:pt idx="68">
                  <c:v>52.906780970219991</c:v>
                </c:pt>
                <c:pt idx="69">
                  <c:v>51.874670694180651</c:v>
                </c:pt>
                <c:pt idx="70">
                  <c:v>50.827374314431466</c:v>
                </c:pt>
                <c:pt idx="71">
                  <c:v>49.76632047857639</c:v>
                </c:pt>
                <c:pt idx="72">
                  <c:v>48.692940838023688</c:v>
                </c:pt>
                <c:pt idx="73">
                  <c:v>47.608655854925786</c:v>
                </c:pt>
                <c:pt idx="74">
                  <c:v>46.514864167483708</c:v>
                </c:pt>
                <c:pt idx="75">
                  <c:v>45.41293553745588</c:v>
                </c:pt>
                <c:pt idx="76">
                  <c:v>44.304207191283105</c:v>
                </c:pt>
                <c:pt idx="77">
                  <c:v>43.189983213334088</c:v>
                </c:pt>
                <c:pt idx="78">
                  <c:v>42.071536550319863</c:v>
                </c:pt>
                <c:pt idx="79">
                  <c:v>40.950113129270918</c:v>
                </c:pt>
                <c:pt idx="80">
                  <c:v>39.826937565211537</c:v>
                </c:pt>
                <c:pt idx="81">
                  <c:v>38.703219926920696</c:v>
                </c:pt>
                <c:pt idx="82">
                  <c:v>37.58016302994303</c:v>
                </c:pt>
                <c:pt idx="83">
                  <c:v>36.458969728127599</c:v>
                </c:pt>
                <c:pt idx="84">
                  <c:v>35.340849674411821</c:v>
                </c:pt>
                <c:pt idx="85">
                  <c:v>34.227025017707071</c:v>
                </c:pt>
                <c:pt idx="86">
                  <c:v>33.118734498382125</c:v>
                </c:pt>
                <c:pt idx="87">
                  <c:v>32.017235406021435</c:v>
                </c:pt>
                <c:pt idx="88">
                  <c:v>30.923802878957176</c:v>
                </c:pt>
                <c:pt idx="89">
                  <c:v>29.839726066927732</c:v>
                </c:pt>
                <c:pt idx="90">
                  <c:v>28.766300758652143</c:v>
                </c:pt>
                <c:pt idx="91">
                  <c:v>27.704818206953952</c:v>
                </c:pt>
                <c:pt idx="92">
                  <c:v>26.656550073737556</c:v>
                </c:pt>
                <c:pt idx="93">
                  <c:v>25.622729667433365</c:v>
                </c:pt>
                <c:pt idx="94">
                  <c:v>24.604529948369276</c:v>
                </c:pt>
                <c:pt idx="95">
                  <c:v>23.603039112277191</c:v>
                </c:pt>
                <c:pt idx="96">
                  <c:v>22.619234895064992</c:v>
                </c:pt>
                <c:pt idx="97">
                  <c:v>21.653959028468343</c:v>
                </c:pt>
                <c:pt idx="98">
                  <c:v>20.70789346673218</c:v>
                </c:pt>
                <c:pt idx="99">
                  <c:v>19.781540053762264</c:v>
                </c:pt>
                <c:pt idx="100">
                  <c:v>18.875205177895403</c:v>
                </c:pt>
                <c:pt idx="101">
                  <c:v>17.988990661795199</c:v>
                </c:pt>
                <c:pt idx="102">
                  <c:v>17.12279168204833</c:v>
                </c:pt>
                <c:pt idx="103">
                  <c:v>16.2763019593542</c:v>
                </c:pt>
                <c:pt idx="104">
                  <c:v>15.449025878146831</c:v>
                </c:pt>
                <c:pt idx="105">
                  <c:v>14.640296662338439</c:v>
                </c:pt>
                <c:pt idx="106">
                  <c:v>13.849299320162991</c:v>
                </c:pt>
                <c:pt idx="107">
                  <c:v>13.075096821745746</c:v>
                </c:pt>
                <c:pt idx="108">
                  <c:v>12.316657904403064</c:v>
                </c:pt>
                <c:pt idx="109">
                  <c:v>11.572885000087753</c:v>
                </c:pt>
                <c:pt idx="110">
                  <c:v>10.842641011616195</c:v>
                </c:pt>
                <c:pt idx="111">
                  <c:v>10.124773981741576</c:v>
                </c:pt>
                <c:pt idx="112">
                  <c:v>9.4181390521865911</c:v>
                </c:pt>
                <c:pt idx="113">
                  <c:v>8.7216174551806276</c:v>
                </c:pt>
                <c:pt idx="114">
                  <c:v>8.0341325856807906</c:v>
                </c:pt>
                <c:pt idx="115">
                  <c:v>7.3546634484628832</c:v>
                </c:pt>
                <c:pt idx="116">
                  <c:v>6.6822559516207587</c:v>
                </c:pt>
                <c:pt idx="117">
                  <c:v>6.0160326253800669</c:v>
                </c:pt>
                <c:pt idx="118">
                  <c:v>5.3552013854042713</c:v>
                </c:pt>
                <c:pt idx="119">
                  <c:v>4.6990639369465192</c:v>
                </c:pt>
                <c:pt idx="120">
                  <c:v>4.0470243333477924</c:v>
                </c:pt>
                <c:pt idx="121">
                  <c:v>3.3985980608993795</c:v>
                </c:pt>
                <c:pt idx="122">
                  <c:v>2.7534218223538254</c:v>
                </c:pt>
                <c:pt idx="123">
                  <c:v>2.1112639347304647</c:v>
                </c:pt>
                <c:pt idx="124">
                  <c:v>1.4720349490554856</c:v>
                </c:pt>
                <c:pt idx="125">
                  <c:v>0.83579775376266774</c:v>
                </c:pt>
                <c:pt idx="126">
                  <c:v>0.20277606483227117</c:v>
                </c:pt>
                <c:pt idx="127">
                  <c:v>-0.42664012641370164</c:v>
                </c:pt>
                <c:pt idx="128">
                  <c:v>-1.0518938296290958</c:v>
                </c:pt>
                <c:pt idx="129">
                  <c:v>-1.6722668485665277</c:v>
                </c:pt>
                <c:pt idx="130">
                  <c:v>-2.2868937904876478</c:v>
                </c:pt>
                <c:pt idx="131">
                  <c:v>-2.8947856450749487</c:v>
                </c:pt>
                <c:pt idx="132">
                  <c:v>-3.4948636668439921</c:v>
                </c:pt>
                <c:pt idx="133">
                  <c:v>-4.086003425696898</c:v>
                </c:pt>
                <c:pt idx="134">
                  <c:v>-4.6670878434930163</c:v>
                </c:pt>
                <c:pt idx="135">
                  <c:v>-5.2370669296048753</c:v>
                </c:pt>
                <c:pt idx="136">
                  <c:v>-5.7950209158426134</c:v>
                </c:pt>
                <c:pt idx="137">
                  <c:v>-6.3402227270665517</c:v>
                </c:pt>
                <c:pt idx="138">
                  <c:v>-6.872195340200971</c:v>
                </c:pt>
                <c:pt idx="139">
                  <c:v>-7.3907596618346521</c:v>
                </c:pt>
                <c:pt idx="140">
                  <c:v>-7.8960691054300849</c:v>
                </c:pt>
                <c:pt idx="141">
                  <c:v>-8.3886280148125962</c:v>
                </c:pt>
                <c:pt idx="142">
                  <c:v>-8.8692923438338269</c:v>
                </c:pt>
                <c:pt idx="143">
                  <c:v>-9.3392524101670968</c:v>
                </c:pt>
                <c:pt idx="144">
                  <c:v>-9.7999989334927662</c:v>
                </c:pt>
                <c:pt idx="145">
                  <c:v>-10.253274801729905</c:v>
                </c:pt>
                <c:pt idx="146">
                  <c:v>-10.701015975327781</c:v>
                </c:pt>
                <c:pt idx="147">
                  <c:v>-11.145285573439825</c:v>
                </c:pt>
                <c:pt idx="148">
                  <c:v>-11.588205462619076</c:v>
                </c:pt>
                <c:pt idx="149">
                  <c:v>-12.031889597901781</c:v>
                </c:pt>
                <c:pt idx="150">
                  <c:v>-12.478382982212274</c:v>
                </c:pt>
                <c:pt idx="151">
                  <c:v>-12.929609465265589</c:v>
                </c:pt>
                <c:pt idx="152">
                  <c:v>-13.387330763444982</c:v>
                </c:pt>
                <c:pt idx="153">
                  <c:v>-13.853118124303125</c:v>
                </c:pt>
                <c:pt idx="154">
                  <c:v>-14.328337067763901</c:v>
                </c:pt>
                <c:pt idx="155">
                  <c:v>-14.814144696798669</c:v>
                </c:pt>
                <c:pt idx="156">
                  <c:v>-15.311498261929888</c:v>
                </c:pt>
                <c:pt idx="157">
                  <c:v>-15.821173047269633</c:v>
                </c:pt>
                <c:pt idx="158">
                  <c:v>-16.343787255408277</c:v>
                </c:pt>
                <c:pt idx="159">
                  <c:v>-16.879831408338887</c:v>
                </c:pt>
                <c:pt idx="160">
                  <c:v>-17.429699827142514</c:v>
                </c:pt>
                <c:pt idx="161">
                  <c:v>-17.993721958680275</c:v>
                </c:pt>
                <c:pt idx="162">
                  <c:v>-18.572191626955185</c:v>
                </c:pt>
                <c:pt idx="163">
                  <c:v>-19.165392644893224</c:v>
                </c:pt>
                <c:pt idx="164">
                  <c:v>-19.773619583719931</c:v>
                </c:pt>
                <c:pt idx="165">
                  <c:v>-20.39719283205033</c:v>
                </c:pt>
                <c:pt idx="166">
                  <c:v>-21.036467372476295</c:v>
                </c:pt>
                <c:pt idx="167">
                  <c:v>-21.691834962326663</c:v>
                </c:pt>
                <c:pt idx="168">
                  <c:v>-22.363719640942858</c:v>
                </c:pt>
                <c:pt idx="169">
                  <c:v>-23.052566717208339</c:v>
                </c:pt>
                <c:pt idx="170">
                  <c:v>-23.75882563633624</c:v>
                </c:pt>
                <c:pt idx="171">
                  <c:v>-24.482927395450069</c:v>
                </c:pt>
                <c:pt idx="172">
                  <c:v>-25.225257472925776</c:v>
                </c:pt>
                <c:pt idx="173">
                  <c:v>-25.986125541751466</c:v>
                </c:pt>
                <c:pt idx="174">
                  <c:v>-26.765733522428718</c:v>
                </c:pt>
                <c:pt idx="175">
                  <c:v>-27.564143755081652</c:v>
                </c:pt>
                <c:pt idx="176">
                  <c:v>-28.381249188622892</c:v>
                </c:pt>
                <c:pt idx="177">
                  <c:v>-29.21674745864253</c:v>
                </c:pt>
                <c:pt idx="178">
                  <c:v>-30.070120534252439</c:v>
                </c:pt>
                <c:pt idx="179">
                  <c:v>-30.940621262508998</c:v>
                </c:pt>
                <c:pt idx="180">
                  <c:v>-31.827267661502518</c:v>
                </c:pt>
                <c:pt idx="181">
                  <c:v>-32.728845268951346</c:v>
                </c:pt>
                <c:pt idx="182">
                  <c:v>-33.643917315297983</c:v>
                </c:pt>
                <c:pt idx="183">
                  <c:v>-34.570842030541009</c:v>
                </c:pt>
                <c:pt idx="184">
                  <c:v>-35.507796067174866</c:v>
                </c:pt>
                <c:pt idx="185">
                  <c:v>-36.452802854420177</c:v>
                </c:pt>
                <c:pt idx="186">
                  <c:v>-37.403764685992485</c:v>
                </c:pt>
                <c:pt idx="187">
                  <c:v>-38.35849745083209</c:v>
                </c:pt>
                <c:pt idx="188">
                  <c:v>-39.314767090131184</c:v>
                </c:pt>
                <c:pt idx="189">
                  <c:v>-40.270327044710484</c:v>
                </c:pt>
                <c:pt idx="190">
                  <c:v>-41.222956090606473</c:v>
                </c:pt>
                <c:pt idx="191">
                  <c:v>-42.170496010686229</c:v>
                </c:pt>
                <c:pt idx="192">
                  <c:v>-43.110888502771544</c:v>
                </c:pt>
                <c:pt idx="193">
                  <c:v>-44.042210592620727</c:v>
                </c:pt>
                <c:pt idx="194">
                  <c:v>-44.962707639281305</c:v>
                </c:pt>
                <c:pt idx="195">
                  <c:v>-45.870822843884284</c:v>
                </c:pt>
                <c:pt idx="196">
                  <c:v>-46.765222060481101</c:v>
                </c:pt>
                <c:pt idx="197">
                  <c:v>-47.644812712376904</c:v>
                </c:pt>
                <c:pt idx="198">
                  <c:v>-48.508755773933359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0986752"/>
        <c:axId val="650081592"/>
      </c:scatterChart>
      <c:valAx>
        <c:axId val="520986752"/>
        <c:scaling>
          <c:logBase val="10"/>
          <c:orientation val="minMax"/>
          <c:min val="10"/>
        </c:scaling>
        <c:delete val="0"/>
        <c:axPos val="b"/>
        <c:minorGridlines/>
        <c:numFmt formatCode="General" sourceLinked="1"/>
        <c:majorTickMark val="out"/>
        <c:minorTickMark val="none"/>
        <c:tickLblPos val="nextTo"/>
        <c:crossAx val="650081592"/>
        <c:crosses val="autoZero"/>
        <c:crossBetween val="midCat"/>
      </c:valAx>
      <c:valAx>
        <c:axId val="650081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09867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$F$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38100</xdr:rowOff>
    </xdr:from>
    <xdr:to>
      <xdr:col>0</xdr:col>
      <xdr:colOff>7400925</xdr:colOff>
      <xdr:row>3</xdr:row>
      <xdr:rowOff>2781300</xdr:rowOff>
    </xdr:to>
    <xdr:pic>
      <xdr:nvPicPr>
        <xdr:cNvPr id="2" name="Picture 1" descr="ONHoriz-2DGreen-Lg.tif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09600"/>
          <a:ext cx="7315200" cy="2743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95250</xdr:rowOff>
        </xdr:from>
        <xdr:to>
          <xdr:col>7</xdr:col>
          <xdr:colOff>47625</xdr:colOff>
          <xdr:row>2</xdr:row>
          <xdr:rowOff>123825</xdr:rowOff>
        </xdr:to>
        <xdr:sp macro="" textlink="">
          <xdr:nvSpPr>
            <xdr:cNvPr id="4103" name="Option Button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Upper Feedback Resistor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9525</xdr:rowOff>
        </xdr:from>
        <xdr:to>
          <xdr:col>7</xdr:col>
          <xdr:colOff>47625</xdr:colOff>
          <xdr:row>4</xdr:row>
          <xdr:rowOff>38100</xdr:rowOff>
        </xdr:to>
        <xdr:sp macro="" textlink="">
          <xdr:nvSpPr>
            <xdr:cNvPr id="4104" name="Option Button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Lower Feedback Resistor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145676</xdr:rowOff>
    </xdr:from>
    <xdr:to>
      <xdr:col>4</xdr:col>
      <xdr:colOff>717178</xdr:colOff>
      <xdr:row>40</xdr:row>
      <xdr:rowOff>33617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33617</xdr:colOff>
      <xdr:row>10</xdr:row>
      <xdr:rowOff>156882</xdr:rowOff>
    </xdr:from>
    <xdr:to>
      <xdr:col>4</xdr:col>
      <xdr:colOff>750794</xdr:colOff>
      <xdr:row>25</xdr:row>
      <xdr:rowOff>44823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829238</xdr:colOff>
      <xdr:row>25</xdr:row>
      <xdr:rowOff>145676</xdr:rowOff>
    </xdr:from>
    <xdr:to>
      <xdr:col>9</xdr:col>
      <xdr:colOff>11211</xdr:colOff>
      <xdr:row>40</xdr:row>
      <xdr:rowOff>33617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862855</xdr:colOff>
      <xdr:row>10</xdr:row>
      <xdr:rowOff>156882</xdr:rowOff>
    </xdr:from>
    <xdr:to>
      <xdr:col>9</xdr:col>
      <xdr:colOff>44827</xdr:colOff>
      <xdr:row>25</xdr:row>
      <xdr:rowOff>44823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145679</xdr:colOff>
      <xdr:row>25</xdr:row>
      <xdr:rowOff>145677</xdr:rowOff>
    </xdr:from>
    <xdr:to>
      <xdr:col>15</xdr:col>
      <xdr:colOff>481853</xdr:colOff>
      <xdr:row>40</xdr:row>
      <xdr:rowOff>33618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179296</xdr:colOff>
      <xdr:row>10</xdr:row>
      <xdr:rowOff>156883</xdr:rowOff>
    </xdr:from>
    <xdr:to>
      <xdr:col>15</xdr:col>
      <xdr:colOff>481853</xdr:colOff>
      <xdr:row>25</xdr:row>
      <xdr:rowOff>44824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tabSelected="1" workbookViewId="0">
      <selection activeCell="A5" sqref="A5"/>
    </sheetView>
  </sheetViews>
  <sheetFormatPr defaultRowHeight="15" x14ac:dyDescent="0.25"/>
  <cols>
    <col min="1" max="1" width="111.42578125" customWidth="1"/>
  </cols>
  <sheetData>
    <row r="1" spans="1:1" x14ac:dyDescent="0.25">
      <c r="A1" s="8" t="s">
        <v>134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ht="276.75" customHeight="1" x14ac:dyDescent="0.25"/>
    <row r="5" spans="1:1" x14ac:dyDescent="0.25">
      <c r="A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133</v>
      </c>
    </row>
  </sheetData>
  <sheetProtection algorithmName="SHA-512" hashValue="M1h1pYn82m5NnlxOMHLnZBC0HkugR/thlPl4ZVfCTB/n+IrWF0Vg8O5YIWIOoqUJw/WbNoDAfodcauZE1a/Oog==" saltValue="ZvbMW1vMb48R+mabiizpXA==" spinCount="100000" sheet="1" objects="1" scenarios="1" selectLockedCells="1"/>
  <customSheetViews>
    <customSheetView guid="{25ED444C-8CCE-464F-9E26-1EDA12EA830D}">
      <selection activeCell="A6" sqref="A6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T202"/>
  <sheetViews>
    <sheetView zoomScale="85" zoomScaleNormal="85" workbookViewId="0">
      <selection activeCell="B8" sqref="B8"/>
    </sheetView>
  </sheetViews>
  <sheetFormatPr defaultRowHeight="15" x14ac:dyDescent="0.25"/>
  <cols>
    <col min="1" max="1" width="27.42578125" customWidth="1"/>
    <col min="2" max="2" width="12.28515625" bestFit="1" customWidth="1"/>
    <col min="5" max="5" width="44.5703125" customWidth="1"/>
    <col min="9" max="9" width="9.140625" style="6" customWidth="1"/>
    <col min="10" max="10" width="9.140625" style="6"/>
    <col min="11" max="11" width="12.28515625" style="6" bestFit="1" customWidth="1"/>
    <col min="12" max="12" width="12.28515625" style="6" customWidth="1"/>
    <col min="13" max="16" width="9.140625" style="6"/>
    <col min="17" max="17" width="15.7109375" style="6" customWidth="1"/>
    <col min="18" max="18" width="15.7109375" style="11" customWidth="1"/>
    <col min="19" max="46" width="0.140625" style="11" customWidth="1"/>
    <col min="47" max="48" width="15.7109375" customWidth="1"/>
  </cols>
  <sheetData>
    <row r="1" spans="1:46" x14ac:dyDescent="0.25">
      <c r="A1" t="s">
        <v>105</v>
      </c>
      <c r="B1" s="2">
        <v>6000</v>
      </c>
      <c r="C1" t="s">
        <v>95</v>
      </c>
      <c r="E1" t="s">
        <v>92</v>
      </c>
      <c r="S1" s="11" t="s">
        <v>7</v>
      </c>
      <c r="T1" s="11">
        <f>'2. Design Parameters'!C3/'2. Design Parameters'!C4</f>
        <v>0.4</v>
      </c>
      <c r="V1" s="11" t="s">
        <v>10</v>
      </c>
      <c r="W1" s="11">
        <f>PI()/T2</f>
        <v>534070.7511102648</v>
      </c>
      <c r="Z1" s="11" t="s">
        <v>27</v>
      </c>
      <c r="AA1" s="11" t="s">
        <v>20</v>
      </c>
      <c r="AB1" s="11" t="s">
        <v>21</v>
      </c>
      <c r="AC1" s="11" t="s">
        <v>22</v>
      </c>
      <c r="AD1" s="11" t="s">
        <v>23</v>
      </c>
      <c r="AE1" s="11" t="s">
        <v>24</v>
      </c>
      <c r="AF1" s="11" t="s">
        <v>19</v>
      </c>
      <c r="AG1" s="11" t="s">
        <v>25</v>
      </c>
      <c r="AH1" s="11" t="s">
        <v>26</v>
      </c>
      <c r="AI1" s="12" t="s">
        <v>28</v>
      </c>
      <c r="AJ1" s="12" t="s">
        <v>29</v>
      </c>
      <c r="AK1" s="12" t="s">
        <v>99</v>
      </c>
      <c r="AL1" s="12" t="s">
        <v>100</v>
      </c>
      <c r="AM1" s="12" t="s">
        <v>101</v>
      </c>
      <c r="AN1" s="12" t="s">
        <v>102</v>
      </c>
      <c r="AO1" s="12" t="s">
        <v>104</v>
      </c>
      <c r="AP1" s="11" t="s">
        <v>26</v>
      </c>
      <c r="AQ1" s="12" t="s">
        <v>28</v>
      </c>
      <c r="AR1" s="12" t="s">
        <v>29</v>
      </c>
      <c r="AS1" s="12" t="s">
        <v>29</v>
      </c>
      <c r="AT1" s="12" t="s">
        <v>28</v>
      </c>
    </row>
    <row r="2" spans="1:46" x14ac:dyDescent="0.25">
      <c r="A2" t="s">
        <v>111</v>
      </c>
      <c r="B2" s="4">
        <f>INDEX(AG2:AG202,MATCH(B1,Z2:Z202,1))</f>
        <v>0.199219555499555</v>
      </c>
      <c r="E2" t="s">
        <v>93</v>
      </c>
      <c r="F2" s="2">
        <v>1</v>
      </c>
      <c r="G2" t="s">
        <v>95</v>
      </c>
      <c r="S2" s="11" t="s">
        <v>9</v>
      </c>
      <c r="T2" s="11">
        <f>1/('2. Design Parameters'!C6*1000)</f>
        <v>5.8823529411764709E-6</v>
      </c>
      <c r="U2" s="11" t="s">
        <v>20</v>
      </c>
      <c r="V2" s="11" t="s">
        <v>11</v>
      </c>
      <c r="W2" s="11">
        <f>1/(PI()*(T5*T1-0.5))</f>
        <v>0.34598900672151156</v>
      </c>
      <c r="Y2" s="11">
        <v>0</v>
      </c>
      <c r="Z2" s="11">
        <f>10^(LOG($F$3/$F$2,10)*Y2/200)</f>
        <v>1</v>
      </c>
      <c r="AA2" s="11" t="str">
        <f>IMPRODUCT(COMPLEX(0,1),2*PI()*Z2)</f>
        <v>6.28318530717959i</v>
      </c>
      <c r="AB2" s="11">
        <f>$T$6/'5. Current Sense Resistor'!$B$11</f>
        <v>100</v>
      </c>
      <c r="AC2" s="11">
        <f>1/(2*$T$3+$T$6*$T$2/('4. Boost Inductor'!$B$11*$T$3^2)*($T$5))</f>
        <v>0.14991181657848324</v>
      </c>
      <c r="AD2" s="11" t="str">
        <f t="shared" ref="AD2:AD65" si="0">IMDIV(IMSUM(1,IMDIV(AA2,$W$3)),IMSUM(1,IMDIV(AA2,$W$5)))</f>
        <v>0.99976685661689-0.0152358698254777i</v>
      </c>
      <c r="AE2" s="11" t="str">
        <f t="shared" ref="AE2:AE65" si="1">IMDIV(IMSUM(1,IMDIV(IMPRODUCT(-1,AA2),$W$4)),IMSUM(1,IMDIV(AA2,$W$1*$W$2),IMDIV(IMPOWER(AA2,2),$W$1^2)))</f>
        <v>0.999999996311597-0.000112542936715818i</v>
      </c>
      <c r="AF2" s="11" t="str">
        <f>IMPRODUCT(AB2,AC$2,AD2,AE2)</f>
        <v>14.9876608025369-0.230090449687002i</v>
      </c>
      <c r="AG2" s="11">
        <f>IMABS(AF2)</f>
        <v>14.989426871863321</v>
      </c>
      <c r="AH2" s="11">
        <f t="shared" ref="AH2:AH56" si="2">IMARGUMENT(AF2)</f>
        <v>-1.5350786162529375E-2</v>
      </c>
      <c r="AI2" s="11">
        <f t="shared" ref="AI2:AI56" si="3">AH2/(PI())*180</f>
        <v>-0.87953525932075827</v>
      </c>
      <c r="AJ2" s="11">
        <f t="shared" ref="AJ2:AJ56" si="4">20*LOG(AG2,10)</f>
        <v>23.515700554036098</v>
      </c>
      <c r="AK2" s="11">
        <f>-Rlower/(Rlower+Rupper)*gm*R0</f>
        <v>-414.15929203539821</v>
      </c>
      <c r="AL2" s="11" t="str">
        <f t="shared" ref="AL2:AL65" si="5">IMDIV(IMSUM(1,IMDIV(AA2,wz1e)),IMSUM(1,IMDIV(AA2,wp1e)))</f>
        <v>0.995811129873669-0.0640833461361402i</v>
      </c>
      <c r="AM2" s="11" t="str">
        <f t="shared" ref="AM2:AM65" si="6">IMDIV(IMSUM(1,IMDIV(AA2,wz2e)),IMSUM(1,IMDIV(AA2,wp2e)))</f>
        <v>0.999999988136973-0.00010832555224967i</v>
      </c>
      <c r="AN2" s="11" t="str">
        <f>IMPRODUCT($AK$2,AL2,AM2)</f>
        <v>-412.421552619425+26.5853890565672i</v>
      </c>
      <c r="AO2" s="11">
        <f>IMABS(AN2)</f>
        <v>413.27753383931497</v>
      </c>
      <c r="AP2" s="11">
        <f>IMARGUMENT(AN2)</f>
        <v>3.0772200306723994</v>
      </c>
      <c r="AQ2" s="11">
        <f>AP2/(PI())*180</f>
        <v>176.3117203906462</v>
      </c>
      <c r="AR2" s="11">
        <f>20*LOG(AO2,10)</f>
        <v>52.324835945227271</v>
      </c>
      <c r="AS2" s="11">
        <f>AR2+AJ2</f>
        <v>75.840536499263365</v>
      </c>
      <c r="AT2" s="11">
        <f>AQ2+AI2</f>
        <v>175.43218513132544</v>
      </c>
    </row>
    <row r="3" spans="1:46" x14ac:dyDescent="0.25">
      <c r="A3" t="s">
        <v>107</v>
      </c>
      <c r="B3" s="2">
        <v>1000</v>
      </c>
      <c r="C3" t="s">
        <v>95</v>
      </c>
      <c r="E3" t="s">
        <v>94</v>
      </c>
      <c r="F3" s="2">
        <v>1000000</v>
      </c>
      <c r="G3" t="s">
        <v>95</v>
      </c>
      <c r="S3" s="11" t="s">
        <v>15</v>
      </c>
      <c r="T3" s="11">
        <f>'2. Design Parameters'!C4/'2. Design Parameters'!C3</f>
        <v>2.5</v>
      </c>
      <c r="V3" s="11" t="s">
        <v>12</v>
      </c>
      <c r="W3" s="11">
        <f>1/('6. Output Capacitors'!C15*'6. Output Capacitors'!C14)</f>
        <v>99999.999999999985</v>
      </c>
      <c r="Y3" s="11">
        <v>1</v>
      </c>
      <c r="Z3" s="11">
        <f t="shared" ref="Z3:Z66" si="7">10^(LOG($F$3/$F$2,10)*Y3/200)</f>
        <v>1.0715193052376064</v>
      </c>
      <c r="AA3" s="11" t="str">
        <f t="shared" ref="AA3:AA66" si="8">IMPRODUCT(COMPLEX(0,1),2*PI()*Z3)</f>
        <v>6.73255435502821i</v>
      </c>
      <c r="AB3" s="11">
        <f>$T$6/'5. Current Sense Resistor'!$B$11</f>
        <v>100</v>
      </c>
      <c r="AD3" s="11" t="str">
        <f t="shared" si="0"/>
        <v>0.999732324864251-0.0163249624440932i</v>
      </c>
      <c r="AE3" s="11" t="str">
        <f t="shared" si="1"/>
        <v>0.999999995765147-0.000120591929341696i</v>
      </c>
      <c r="AF3" s="11" t="str">
        <f t="shared" ref="AF3:AF66" si="9">IMPRODUCT(AB3,AC$2,AD3,AE3)</f>
        <v>14.9871393152741-0.246537808132522i</v>
      </c>
      <c r="AG3" s="11">
        <f t="shared" ref="AG3:AG56" si="10">IMABS(AF3)</f>
        <v>14.989166946374084</v>
      </c>
      <c r="AH3" s="11">
        <f t="shared" si="2"/>
        <v>-1.6448474172098597E-2</v>
      </c>
      <c r="AI3" s="11">
        <f t="shared" si="3"/>
        <v>-0.94242814949119058</v>
      </c>
      <c r="AJ3" s="11">
        <f t="shared" si="4"/>
        <v>23.515549934288728</v>
      </c>
      <c r="AL3" s="11" t="str">
        <f t="shared" si="5"/>
        <v>0.995193563208311-0.0686232876043441i</v>
      </c>
      <c r="AM3" s="11" t="str">
        <f t="shared" si="6"/>
        <v>0.999999986379423-0.000116072920279806i</v>
      </c>
      <c r="AN3" s="11" t="str">
        <f t="shared" ref="AN3:AN66" si="11">IMPRODUCT($AK$2,AL3,AM3)</f>
        <v>-412.165357057323+28.4688134444436i</v>
      </c>
      <c r="AO3" s="11">
        <f t="shared" ref="AO3:AO66" si="12">IMABS(AN3)</f>
        <v>413.1473767278755</v>
      </c>
      <c r="AP3" s="11">
        <f t="shared" ref="AP3:AP66" si="13">IMARGUMENT(AN3)</f>
        <v>3.072630843398477</v>
      </c>
      <c r="AQ3" s="11">
        <f t="shared" ref="AQ3:AQ66" si="14">AP3/(PI())*180</f>
        <v>176.04877932845531</v>
      </c>
      <c r="AR3" s="11">
        <f t="shared" ref="AR3:AR66" si="15">20*LOG(AO3,10)</f>
        <v>52.322099991118293</v>
      </c>
      <c r="AS3" s="11">
        <f t="shared" ref="AS3:AS66" si="16">AR3+AJ3</f>
        <v>75.837649925407021</v>
      </c>
      <c r="AT3" s="11">
        <f t="shared" ref="AT3:AT66" si="17">AQ3+AI3</f>
        <v>175.10635117896413</v>
      </c>
    </row>
    <row r="4" spans="1:46" x14ac:dyDescent="0.25">
      <c r="A4" t="s">
        <v>106</v>
      </c>
      <c r="B4" s="2">
        <v>10000</v>
      </c>
      <c r="C4" t="s">
        <v>95</v>
      </c>
      <c r="E4" t="str">
        <f>IF(OR(B1&lt;F2,(B1&gt;F3)),"Crossover frequency needs to be on the graph","")</f>
        <v/>
      </c>
      <c r="S4" s="11" t="s">
        <v>17</v>
      </c>
      <c r="T4" s="11">
        <f>'2. Design Parameters'!C3/'4. Boost Inductor'!B11</f>
        <v>399999.99999999994</v>
      </c>
      <c r="U4" s="11" t="s">
        <v>48</v>
      </c>
      <c r="V4" s="11" t="s">
        <v>13</v>
      </c>
      <c r="W4" s="11">
        <f>T6*T1^2/'4. Boost Inductor'!B11</f>
        <v>80000.000000000015</v>
      </c>
      <c r="Y4" s="11">
        <v>2</v>
      </c>
      <c r="Z4" s="11">
        <f t="shared" si="7"/>
        <v>1.1481536214968828</v>
      </c>
      <c r="AA4" s="11" t="str">
        <f t="shared" si="8"/>
        <v>7.21406196497425i</v>
      </c>
      <c r="AB4" s="11">
        <f>$T$6/'5. Current Sense Resistor'!$B$11</f>
        <v>100</v>
      </c>
      <c r="AD4" s="11" t="str">
        <f t="shared" si="0"/>
        <v>0.999692680061152-0.017491815882469i</v>
      </c>
      <c r="AE4" s="11" t="str">
        <f t="shared" si="1"/>
        <v>0.999999995137739-0.000129216580324024i</v>
      </c>
      <c r="AF4" s="11" t="str">
        <f t="shared" si="9"/>
        <v>14.9865406123914-0.264159502061286i</v>
      </c>
      <c r="AG4" s="11">
        <f t="shared" si="10"/>
        <v>14.988868528657727</v>
      </c>
      <c r="AH4" s="11">
        <f t="shared" si="2"/>
        <v>-1.7624624428084362E-2</v>
      </c>
      <c r="AI4" s="11">
        <f t="shared" si="3"/>
        <v>-1.0098165952324061</v>
      </c>
      <c r="AJ4" s="11">
        <f t="shared" si="4"/>
        <v>23.515377006122534</v>
      </c>
      <c r="AL4" s="11" t="str">
        <f t="shared" si="5"/>
        <v>0.994485460599546-0.0734780342315207i</v>
      </c>
      <c r="AM4" s="11" t="str">
        <f t="shared" si="6"/>
        <v>0.999999984361485-0.000124374374641388i</v>
      </c>
      <c r="AN4" s="11" t="str">
        <f t="shared" si="11"/>
        <v>-411.871602947743+30.4828369061706i</v>
      </c>
      <c r="AO4" s="11">
        <f t="shared" si="12"/>
        <v>412.99808796239171</v>
      </c>
      <c r="AP4" s="11">
        <f t="shared" si="13"/>
        <v>3.0677168104490535</v>
      </c>
      <c r="AQ4" s="11">
        <f t="shared" si="14"/>
        <v>175.76722598006512</v>
      </c>
      <c r="AR4" s="11">
        <f t="shared" si="15"/>
        <v>52.318960820570879</v>
      </c>
      <c r="AS4" s="11">
        <f t="shared" si="16"/>
        <v>75.834337826693414</v>
      </c>
      <c r="AT4" s="11">
        <f t="shared" si="17"/>
        <v>174.75740938483273</v>
      </c>
    </row>
    <row r="5" spans="1:46" x14ac:dyDescent="0.25">
      <c r="A5" t="s">
        <v>112</v>
      </c>
      <c r="B5" s="4">
        <f>1/B2*B4/(B4-B3)*((Rlower+Rupper)/(1.2*10^-3*Rlower))*SQRT(1+(B1/B4)^2)/SQRT(1+(B3/B1)^2)</f>
        <v>46472.839788037898</v>
      </c>
      <c r="C5" s="1" t="s">
        <v>43</v>
      </c>
      <c r="S5" s="11" t="s">
        <v>16</v>
      </c>
      <c r="T5" s="11">
        <f>1+(T7/T4)</f>
        <v>3.5500000000000003</v>
      </c>
      <c r="V5" s="11" t="s">
        <v>14</v>
      </c>
      <c r="W5" s="11">
        <f>(2/T6+T2/('4. Boost Inductor'!B11*T3^3*(T5)))/'6. Output Capacitors'!C14</f>
        <v>410.60480530240267</v>
      </c>
      <c r="Y5" s="11">
        <v>3</v>
      </c>
      <c r="Z5" s="11">
        <f t="shared" si="7"/>
        <v>1.2302687708123814</v>
      </c>
      <c r="AA5" s="11" t="str">
        <f t="shared" si="8"/>
        <v>7.73000666465024i</v>
      </c>
      <c r="AB5" s="11">
        <f>$T$6/'5. Current Sense Resistor'!$B$11</f>
        <v>100</v>
      </c>
      <c r="AD5" s="11" t="str">
        <f t="shared" si="0"/>
        <v>0.999647165630236-0.0187419615514182i</v>
      </c>
      <c r="AE5" s="11" t="str">
        <f t="shared" si="1"/>
        <v>0.999999994417376-0.000138458060347585i</v>
      </c>
      <c r="AF5" s="11" t="str">
        <f t="shared" si="9"/>
        <v>14.9858532683042-0.283039066247229i</v>
      </c>
      <c r="AG5" s="11">
        <f t="shared" si="10"/>
        <v>14.988525921256093</v>
      </c>
      <c r="AH5" s="11">
        <f t="shared" si="2"/>
        <v>-1.8884838451807304E-2</v>
      </c>
      <c r="AI5" s="11">
        <f t="shared" si="3"/>
        <v>-1.0820215400749302</v>
      </c>
      <c r="AJ5" s="11">
        <f t="shared" si="4"/>
        <v>23.515178466513973</v>
      </c>
      <c r="AL5" s="11" t="str">
        <f t="shared" si="5"/>
        <v>0.993673711206684-0.0786678531607398i</v>
      </c>
      <c r="AM5" s="11" t="str">
        <f t="shared" si="6"/>
        <v>0.999999982044583-0.000133269543192946i</v>
      </c>
      <c r="AN5" s="11" t="str">
        <f t="shared" si="11"/>
        <v>-411.534851300221+32.6358674272804i</v>
      </c>
      <c r="AO5" s="11">
        <f t="shared" si="12"/>
        <v>412.82688100149932</v>
      </c>
      <c r="AP5" s="11">
        <f t="shared" si="13"/>
        <v>3.0624554690257879</v>
      </c>
      <c r="AQ5" s="11">
        <f t="shared" si="14"/>
        <v>175.46577332193465</v>
      </c>
      <c r="AR5" s="11">
        <f t="shared" si="15"/>
        <v>52.315359367854455</v>
      </c>
      <c r="AS5" s="11">
        <f t="shared" si="16"/>
        <v>75.830537834368428</v>
      </c>
      <c r="AT5" s="11">
        <f t="shared" si="17"/>
        <v>174.38375178185973</v>
      </c>
    </row>
    <row r="6" spans="1:46" x14ac:dyDescent="0.25">
      <c r="A6" t="s">
        <v>113</v>
      </c>
      <c r="B6" s="4">
        <f>1/(B5*B3*2*PI())*10^9</f>
        <v>3.4246872757894562</v>
      </c>
      <c r="C6" t="s">
        <v>103</v>
      </c>
      <c r="S6" s="11" t="s">
        <v>18</v>
      </c>
      <c r="T6" s="11">
        <f>'2. Design Parameters'!C4/'2. Design Parameters'!D5</f>
        <v>5</v>
      </c>
      <c r="U6" s="12" t="s">
        <v>43</v>
      </c>
      <c r="Y6" s="11">
        <v>4</v>
      </c>
      <c r="Z6" s="11">
        <f t="shared" si="7"/>
        <v>1.318256738556407</v>
      </c>
      <c r="AA6" s="11" t="str">
        <f t="shared" si="8"/>
        <v>8.2828513707881i</v>
      </c>
      <c r="AB6" s="11">
        <f>$T$6/'5. Current Sense Resistor'!$B$11</f>
        <v>100</v>
      </c>
      <c r="AD6" s="11" t="str">
        <f t="shared" si="0"/>
        <v>0.999594913203253-0.0200813195677075i</v>
      </c>
      <c r="AE6" s="11" t="str">
        <f t="shared" si="1"/>
        <v>0.999999993590291-0.000148360484595722i</v>
      </c>
      <c r="AF6" s="11" t="str">
        <f t="shared" si="9"/>
        <v>14.9850641691986-0.303265905661502i</v>
      </c>
      <c r="AG6" s="11">
        <f t="shared" si="10"/>
        <v>14.988132584299368</v>
      </c>
      <c r="AH6" s="11">
        <f t="shared" si="2"/>
        <v>-2.0235116070447833E-2</v>
      </c>
      <c r="AI6" s="11">
        <f t="shared" si="3"/>
        <v>-1.1593867487940077</v>
      </c>
      <c r="AJ6" s="11">
        <f t="shared" si="4"/>
        <v>23.514950523736676</v>
      </c>
      <c r="AL6" s="11" t="str">
        <f t="shared" si="5"/>
        <v>0.992743356605132-0.0842139555154609i</v>
      </c>
      <c r="AM6" s="11" t="str">
        <f t="shared" si="6"/>
        <v>0.999999979384423-0.000142800887947402i</v>
      </c>
      <c r="AN6" s="11" t="str">
        <f t="shared" si="11"/>
        <v>-411.148896659996+34.9367046167212i</v>
      </c>
      <c r="AO6" s="11">
        <f t="shared" si="12"/>
        <v>412.63057152155864</v>
      </c>
      <c r="AP6" s="11">
        <f t="shared" si="13"/>
        <v>3.0568229246345573</v>
      </c>
      <c r="AQ6" s="11">
        <f t="shared" si="14"/>
        <v>175.14305230039704</v>
      </c>
      <c r="AR6" s="11">
        <f t="shared" si="15"/>
        <v>52.31122802830545</v>
      </c>
      <c r="AS6" s="11">
        <f t="shared" si="16"/>
        <v>75.826178552042123</v>
      </c>
      <c r="AT6" s="11">
        <f t="shared" si="17"/>
        <v>173.98366555160302</v>
      </c>
    </row>
    <row r="7" spans="1:46" x14ac:dyDescent="0.25">
      <c r="A7" t="s">
        <v>114</v>
      </c>
      <c r="B7" s="4">
        <f>(1/(B5*2*PI()*B4))/(1-1/(B6*10^-9*B5*2*PI()*B4))*10^9</f>
        <v>0.38052080842105068</v>
      </c>
      <c r="C7" t="s">
        <v>103</v>
      </c>
      <c r="S7" s="11" t="s">
        <v>30</v>
      </c>
      <c r="T7" s="11">
        <f>'2. Design Parameters'!C7*1000/'5. Current Sense Resistor'!B11</f>
        <v>1020000</v>
      </c>
      <c r="U7" s="11" t="s">
        <v>48</v>
      </c>
      <c r="Y7" s="11">
        <v>5</v>
      </c>
      <c r="Z7" s="11">
        <f t="shared" si="7"/>
        <v>1.4125375446227544</v>
      </c>
      <c r="AA7" s="11" t="str">
        <f t="shared" si="8"/>
        <v>8.87523514621322i</v>
      </c>
      <c r="AB7" s="11">
        <f>$T$6/'5. Current Sense Resistor'!$B$11</f>
        <v>100</v>
      </c>
      <c r="AD7" s="11" t="str">
        <f t="shared" si="0"/>
        <v>0.999534926153815-0.0215162249695767i</v>
      </c>
      <c r="AE7" s="11" t="str">
        <f t="shared" si="1"/>
        <v>0.999999992640669-0.000158971123338776i</v>
      </c>
      <c r="AF7" s="11" t="str">
        <f t="shared" si="9"/>
        <v>14.9841582643481-0.324935691376894i</v>
      </c>
      <c r="AG7" s="11">
        <f t="shared" si="10"/>
        <v>14.98768101123593</v>
      </c>
      <c r="AH7" s="11">
        <f t="shared" si="2"/>
        <v>-2.1681883372170939E-2</v>
      </c>
      <c r="AI7" s="11">
        <f t="shared" si="3"/>
        <v>-1.2422804091202719</v>
      </c>
      <c r="AJ7" s="11">
        <f t="shared" si="4"/>
        <v>23.514688825165571</v>
      </c>
      <c r="AL7" s="11" t="str">
        <f t="shared" si="5"/>
        <v>0.991677346531365-0.0901384523827507i</v>
      </c>
      <c r="AM7" s="11" t="str">
        <f t="shared" si="6"/>
        <v>0.99999997633015-0.000153013907768245i</v>
      </c>
      <c r="AN7" s="11" t="str">
        <f t="shared" si="11"/>
        <v>-410.706665779595+37.3945214477923i</v>
      </c>
      <c r="AO7" s="11">
        <f t="shared" si="12"/>
        <v>412.40552318088726</v>
      </c>
      <c r="AP7" s="11">
        <f t="shared" si="13"/>
        <v>3.0507937879444369</v>
      </c>
      <c r="AQ7" s="11">
        <f t="shared" si="14"/>
        <v>174.79760821394569</v>
      </c>
      <c r="AR7" s="11">
        <f t="shared" si="15"/>
        <v>52.306489459626249</v>
      </c>
      <c r="AS7" s="11">
        <f t="shared" si="16"/>
        <v>75.821178284791813</v>
      </c>
      <c r="AT7" s="11">
        <f t="shared" si="17"/>
        <v>173.55532780482542</v>
      </c>
    </row>
    <row r="8" spans="1:46" x14ac:dyDescent="0.25">
      <c r="A8" t="s">
        <v>108</v>
      </c>
      <c r="B8" s="2">
        <v>46500</v>
      </c>
      <c r="C8" s="1" t="s">
        <v>43</v>
      </c>
      <c r="Y8" s="11">
        <v>6</v>
      </c>
      <c r="Z8" s="11">
        <f t="shared" si="7"/>
        <v>1.513561248436208</v>
      </c>
      <c r="AA8" s="11" t="str">
        <f t="shared" si="8"/>
        <v>9.50998579769077i</v>
      </c>
      <c r="AB8" s="11">
        <f>$T$6/'5. Current Sense Resistor'!$B$11</f>
        <v>100</v>
      </c>
      <c r="AD8" s="11" t="str">
        <f t="shared" si="0"/>
        <v>0.999466060720607-0.0230534554438217i</v>
      </c>
      <c r="AE8" s="11" t="str">
        <f t="shared" si="1"/>
        <v>0.999999991550357-0.000170340627583664i</v>
      </c>
      <c r="AF8" s="11" t="str">
        <f t="shared" si="9"/>
        <v>14.9831182810423-0.348150779299841i</v>
      </c>
      <c r="AG8" s="11">
        <f t="shared" si="10"/>
        <v>14.98716258632137</v>
      </c>
      <c r="AH8" s="11">
        <f t="shared" si="2"/>
        <v>-2.3232022538512972E-2</v>
      </c>
      <c r="AI8" s="11">
        <f t="shared" si="3"/>
        <v>-1.3310968410095982</v>
      </c>
      <c r="AJ8" s="11">
        <f t="shared" si="4"/>
        <v>23.514388374450668</v>
      </c>
      <c r="AL8" s="11" t="str">
        <f t="shared" si="5"/>
        <v>0.990456267462054-0.0964642839259254i</v>
      </c>
      <c r="AM8" s="11" t="str">
        <f t="shared" si="6"/>
        <v>0.999999972823376-0.000163957355562259i</v>
      </c>
      <c r="AN8" s="11" t="str">
        <f t="shared" si="11"/>
        <v>-410.200105020743+40.0188348519912i</v>
      </c>
      <c r="AO8" s="11">
        <f t="shared" si="12"/>
        <v>412.14758679621008</v>
      </c>
      <c r="AP8" s="11">
        <f t="shared" si="13"/>
        <v>3.0443411157627178</v>
      </c>
      <c r="AQ8" s="11">
        <f t="shared" si="14"/>
        <v>174.42789733135172</v>
      </c>
      <c r="AR8" s="11">
        <f t="shared" si="15"/>
        <v>52.30105522618048</v>
      </c>
      <c r="AS8" s="11">
        <f t="shared" si="16"/>
        <v>75.815443600631141</v>
      </c>
      <c r="AT8" s="11">
        <f t="shared" si="17"/>
        <v>173.0968004903421</v>
      </c>
    </row>
    <row r="9" spans="1:46" x14ac:dyDescent="0.25">
      <c r="A9" t="s">
        <v>109</v>
      </c>
      <c r="B9" s="2">
        <v>3.42</v>
      </c>
      <c r="C9" t="s">
        <v>103</v>
      </c>
      <c r="Y9" s="11">
        <v>7</v>
      </c>
      <c r="Z9" s="11">
        <f t="shared" si="7"/>
        <v>1.6218100973589298</v>
      </c>
      <c r="AA9" s="11" t="str">
        <f t="shared" si="8"/>
        <v>10.1901333747611i</v>
      </c>
      <c r="AB9" s="11">
        <f>$T$6/'5. Current Sense Resistor'!$B$11</f>
        <v>100</v>
      </c>
      <c r="AD9" s="11" t="str">
        <f t="shared" si="0"/>
        <v>0.999387004373675-0.0247002605894926i</v>
      </c>
      <c r="AE9" s="11" t="str">
        <f t="shared" si="1"/>
        <v>0.999999990298512-0.000182523270861724i</v>
      </c>
      <c r="AF9" s="11" t="str">
        <f t="shared" si="9"/>
        <v>14.9819243978821-0.37302065210837i</v>
      </c>
      <c r="AG9" s="11">
        <f t="shared" si="10"/>
        <v>14.986567421219386</v>
      </c>
      <c r="AH9" s="11">
        <f t="shared" si="2"/>
        <v>-2.4892903660301603E-2</v>
      </c>
      <c r="AI9" s="11">
        <f t="shared" si="3"/>
        <v>-1.4262583195610405</v>
      </c>
      <c r="AJ9" s="11">
        <f t="shared" si="4"/>
        <v>23.514043436507237</v>
      </c>
      <c r="AL9" s="11" t="str">
        <f t="shared" si="5"/>
        <v>0.989058042694988-0.103215115019266i</v>
      </c>
      <c r="AM9" s="11" t="str">
        <f t="shared" si="6"/>
        <v>0.999999968797061-0.000175683471005557i</v>
      </c>
      <c r="AN9" s="11" t="str">
        <f t="shared" si="11"/>
        <v>-409.620055933894+42.8194624247372i</v>
      </c>
      <c r="AO9" s="11">
        <f t="shared" si="12"/>
        <v>411.85203239225365</v>
      </c>
      <c r="AP9" s="11">
        <f t="shared" si="13"/>
        <v>3.0374363582447796</v>
      </c>
      <c r="AQ9" s="11">
        <f t="shared" si="14"/>
        <v>174.03228386701264</v>
      </c>
      <c r="AR9" s="11">
        <f t="shared" si="15"/>
        <v>52.294824269308364</v>
      </c>
      <c r="AS9" s="11">
        <f t="shared" si="16"/>
        <v>75.808867705815601</v>
      </c>
      <c r="AT9" s="11">
        <f t="shared" si="17"/>
        <v>172.60602554745159</v>
      </c>
    </row>
    <row r="10" spans="1:46" x14ac:dyDescent="0.25">
      <c r="A10" t="s">
        <v>110</v>
      </c>
      <c r="B10" s="2">
        <v>0.38</v>
      </c>
      <c r="C10" t="s">
        <v>103</v>
      </c>
      <c r="Y10" s="11">
        <v>8</v>
      </c>
      <c r="Z10" s="11">
        <f t="shared" si="7"/>
        <v>1.7378008287493754</v>
      </c>
      <c r="AA10" s="11" t="str">
        <f t="shared" si="8"/>
        <v>10.9189246340026i</v>
      </c>
      <c r="AB10" s="11">
        <f>$T$6/'5. Current Sense Resistor'!$B$11</f>
        <v>100</v>
      </c>
      <c r="AD10" s="11" t="str">
        <f t="shared" si="0"/>
        <v>0.999296251027922-0.026464392726183i</v>
      </c>
      <c r="AE10" s="11" t="str">
        <f t="shared" si="1"/>
        <v>0.999999988861201-0.000195577208309066i</v>
      </c>
      <c r="AF10" s="11" t="str">
        <f t="shared" si="9"/>
        <v>14.9805538704617-0.399662384516464i</v>
      </c>
      <c r="AG10" s="11">
        <f t="shared" si="10"/>
        <v>14.985884167689354</v>
      </c>
      <c r="AH10" s="11">
        <f t="shared" si="2"/>
        <v>-2.6672418644595741E-2</v>
      </c>
      <c r="AI10" s="11">
        <f t="shared" si="3"/>
        <v>-1.5282170177413839</v>
      </c>
      <c r="AJ10" s="11">
        <f t="shared" si="4"/>
        <v>23.513647428543717</v>
      </c>
      <c r="AL10" s="11" t="str">
        <f t="shared" si="5"/>
        <v>0.987457603170611-0.110415189547649i</v>
      </c>
      <c r="AM10" s="11" t="str">
        <f t="shared" si="6"/>
        <v>0.999999964174233-0.00018824822991383i</v>
      </c>
      <c r="AN10" s="11" t="str">
        <f t="shared" si="11"/>
        <v>-408.956118699586+45.8064619834643i</v>
      </c>
      <c r="AO10" s="11">
        <f t="shared" si="12"/>
        <v>411.51347363272623</v>
      </c>
      <c r="AP10" s="11">
        <f t="shared" si="13"/>
        <v>3.0300493149646974</v>
      </c>
      <c r="AQ10" s="11">
        <f t="shared" si="14"/>
        <v>173.60903746398344</v>
      </c>
      <c r="AR10" s="11">
        <f t="shared" si="15"/>
        <v>52.287681186034966</v>
      </c>
      <c r="AS10" s="11">
        <f t="shared" si="16"/>
        <v>75.801328614578679</v>
      </c>
      <c r="AT10" s="11">
        <f t="shared" si="17"/>
        <v>172.08082044624206</v>
      </c>
    </row>
    <row r="11" spans="1:46" x14ac:dyDescent="0.25">
      <c r="Y11" s="11">
        <v>9</v>
      </c>
      <c r="Z11" s="11">
        <f t="shared" si="7"/>
        <v>1.8620871366628673</v>
      </c>
      <c r="AA11" s="11" t="str">
        <f t="shared" si="8"/>
        <v>11.6998385377682i</v>
      </c>
      <c r="AB11" s="11">
        <f>$T$6/'5. Current Sense Resistor'!$B$11</f>
        <v>100</v>
      </c>
      <c r="AD11" s="11" t="str">
        <f t="shared" si="0"/>
        <v>0.999192072653287-0.0283541392323413i</v>
      </c>
      <c r="AE11" s="11" t="str">
        <f t="shared" si="1"/>
        <v>0.999999987210949-0.00020956475427613i</v>
      </c>
      <c r="AF11" s="11" t="str">
        <f t="shared" si="9"/>
        <v>14.9789806026348-0.428201131644871i</v>
      </c>
      <c r="AG11" s="11">
        <f t="shared" si="10"/>
        <v>14.985099802912611</v>
      </c>
      <c r="AH11" s="11">
        <f t="shared" si="2"/>
        <v>-2.8579017319967946E-2</v>
      </c>
      <c r="AI11" s="11">
        <f t="shared" si="3"/>
        <v>-1.6374570750654445</v>
      </c>
      <c r="AJ11" s="11">
        <f t="shared" si="4"/>
        <v>23.513192795095911</v>
      </c>
      <c r="AL11" s="11" t="str">
        <f t="shared" si="5"/>
        <v>0.985626529130805-0.11808913410892i</v>
      </c>
      <c r="AM11" s="11" t="str">
        <f t="shared" si="6"/>
        <v>0.999999958866516-0.000201711611447113i</v>
      </c>
      <c r="AN11" s="11" t="str">
        <f t="shared" si="11"/>
        <v>-408.196503471734+48.9900501357044i</v>
      </c>
      <c r="AO11" s="11">
        <f t="shared" si="12"/>
        <v>411.1257842301406</v>
      </c>
      <c r="AP11" s="11">
        <f t="shared" si="13"/>
        <v>3.022148103072849</v>
      </c>
      <c r="AQ11" s="11">
        <f t="shared" si="14"/>
        <v>173.15633136954196</v>
      </c>
      <c r="AR11" s="11">
        <f t="shared" si="15"/>
        <v>52.279494298327336</v>
      </c>
      <c r="AS11" s="11">
        <f t="shared" si="16"/>
        <v>75.79268709342324</v>
      </c>
      <c r="AT11" s="11">
        <f t="shared" si="17"/>
        <v>171.51887429447652</v>
      </c>
    </row>
    <row r="12" spans="1:46" x14ac:dyDescent="0.25">
      <c r="A12" t="s">
        <v>96</v>
      </c>
      <c r="B12">
        <f>B8</f>
        <v>46500</v>
      </c>
      <c r="C12" s="1" t="s">
        <v>43</v>
      </c>
      <c r="D12" s="1"/>
      <c r="Y12" s="11">
        <v>10</v>
      </c>
      <c r="Z12" s="11">
        <f t="shared" si="7"/>
        <v>1.9952623149688797</v>
      </c>
      <c r="AA12" s="11" t="str">
        <f t="shared" si="8"/>
        <v>12.5366028613816i</v>
      </c>
      <c r="AB12" s="11">
        <f>$T$6/'5. Current Sense Resistor'!$B$11</f>
        <v>100</v>
      </c>
      <c r="AD12" s="11" t="str">
        <f t="shared" si="0"/>
        <v>0.999072486769588-0.0303783563697124i</v>
      </c>
      <c r="AE12" s="11" t="str">
        <f t="shared" si="1"/>
        <v>0.999999985316204-0.000224552679791666i</v>
      </c>
      <c r="AF12" s="11" t="str">
        <f t="shared" si="9"/>
        <v>14.9771746556326-0.45877063983554i</v>
      </c>
      <c r="AG12" s="11">
        <f t="shared" si="10"/>
        <v>14.984199383527256</v>
      </c>
      <c r="AH12" s="11">
        <f t="shared" si="2"/>
        <v>-3.0621745845513401E-2</v>
      </c>
      <c r="AI12" s="11">
        <f t="shared" si="3"/>
        <v>-1.7544967982701805</v>
      </c>
      <c r="AJ12" s="11">
        <f t="shared" si="4"/>
        <v>23.512670864745601</v>
      </c>
      <c r="AL12" s="11" t="str">
        <f t="shared" si="5"/>
        <v>0.98353266394244-0.126261700310618i</v>
      </c>
      <c r="AM12" s="11" t="str">
        <f t="shared" si="6"/>
        <v>0.999999952772441-0.000216137884424575i</v>
      </c>
      <c r="AN12" s="11" t="str">
        <f t="shared" si="11"/>
        <v>-407.327870173554+52.3804953733433i</v>
      </c>
      <c r="AO12" s="11">
        <f t="shared" si="12"/>
        <v>410.68200607730614</v>
      </c>
      <c r="AP12" s="11">
        <f t="shared" si="13"/>
        <v>3.0136991414707404</v>
      </c>
      <c r="AQ12" s="11">
        <f t="shared" si="14"/>
        <v>172.67224152847302</v>
      </c>
      <c r="AR12" s="11">
        <f t="shared" si="15"/>
        <v>52.270113495469445</v>
      </c>
      <c r="AS12" s="11">
        <f t="shared" si="16"/>
        <v>75.782784360215047</v>
      </c>
      <c r="AT12" s="11">
        <f t="shared" si="17"/>
        <v>170.91774473020286</v>
      </c>
    </row>
    <row r="13" spans="1:46" x14ac:dyDescent="0.25">
      <c r="A13" t="s">
        <v>97</v>
      </c>
      <c r="B13">
        <f>B9</f>
        <v>3.42</v>
      </c>
      <c r="C13" t="s">
        <v>103</v>
      </c>
      <c r="Y13" s="11">
        <v>11</v>
      </c>
      <c r="Z13" s="11">
        <f t="shared" si="7"/>
        <v>2.1379620895022318</v>
      </c>
      <c r="AA13" s="11" t="str">
        <f t="shared" si="8"/>
        <v>13.4332119880674i</v>
      </c>
      <c r="AB13" s="11">
        <f>$T$6/'5. Current Sense Resistor'!$B$11</f>
        <v>100</v>
      </c>
      <c r="AD13" s="11" t="str">
        <f t="shared" si="0"/>
        <v>0.998935219245031-0.032546504512273i</v>
      </c>
      <c r="AE13" s="11" t="str">
        <f t="shared" si="1"/>
        <v>0.999999983140747-0.0002406125313011i</v>
      </c>
      <c r="AF13" s="11" t="str">
        <f t="shared" si="9"/>
        <v>14.9751016862585-0.491513778676911i</v>
      </c>
      <c r="AG13" s="11">
        <f t="shared" si="10"/>
        <v>14.983165763896874</v>
      </c>
      <c r="AH13" s="11">
        <f t="shared" si="2"/>
        <v>-3.2810287524705668E-2</v>
      </c>
      <c r="AI13" s="11">
        <f t="shared" si="3"/>
        <v>-1.8798909997763715</v>
      </c>
      <c r="AJ13" s="11">
        <f t="shared" si="4"/>
        <v>23.512071685872407</v>
      </c>
      <c r="AL13" s="11" t="str">
        <f t="shared" si="5"/>
        <v>0.981139703121636-0.13495743319846i</v>
      </c>
      <c r="AM13" s="11" t="str">
        <f t="shared" si="6"/>
        <v>0.999999945775508-0.000231595914115926i</v>
      </c>
      <c r="AN13" s="11" t="str">
        <f t="shared" si="11"/>
        <v>-406.335158005585+55.9879805229917i</v>
      </c>
      <c r="AO13" s="11">
        <f t="shared" si="12"/>
        <v>410.17424906308617</v>
      </c>
      <c r="AP13" s="11">
        <f t="shared" si="13"/>
        <v>3.0046671557499636</v>
      </c>
      <c r="AQ13" s="11">
        <f t="shared" si="14"/>
        <v>172.15474686605009</v>
      </c>
      <c r="AR13" s="11">
        <f t="shared" si="15"/>
        <v>52.259367833428485</v>
      </c>
      <c r="AS13" s="11">
        <f t="shared" si="16"/>
        <v>75.771439519300884</v>
      </c>
      <c r="AT13" s="11">
        <f t="shared" si="17"/>
        <v>170.27485586627373</v>
      </c>
    </row>
    <row r="14" spans="1:46" x14ac:dyDescent="0.25">
      <c r="A14" t="s">
        <v>98</v>
      </c>
      <c r="B14">
        <f>B10</f>
        <v>0.38</v>
      </c>
      <c r="C14" t="s">
        <v>103</v>
      </c>
      <c r="S14" s="13" t="s">
        <v>120</v>
      </c>
      <c r="Y14" s="11">
        <v>12</v>
      </c>
      <c r="Z14" s="11">
        <f t="shared" si="7"/>
        <v>2.2908676527677727</v>
      </c>
      <c r="AA14" s="11" t="str">
        <f t="shared" si="8"/>
        <v>14.3939459765635i</v>
      </c>
      <c r="AB14" s="11">
        <f>$T$6/'5. Current Sense Resistor'!$B$11</f>
        <v>100</v>
      </c>
      <c r="AD14" s="11" t="str">
        <f t="shared" si="0"/>
        <v>0.998777661740331-0.0348686846499323i</v>
      </c>
      <c r="AE14" s="11" t="str">
        <f t="shared" si="1"/>
        <v>0.999999980642987-0.000257820972200817i</v>
      </c>
      <c r="AF14" s="11" t="str">
        <f t="shared" si="9"/>
        <v>14.9727223042237-0.526583092280951i</v>
      </c>
      <c r="AG14" s="11">
        <f t="shared" si="10"/>
        <v>14.981979273529715</v>
      </c>
      <c r="AH14" s="11">
        <f t="shared" si="2"/>
        <v>-3.5155006118006191E-2</v>
      </c>
      <c r="AI14" s="11">
        <f t="shared" si="3"/>
        <v>-2.0142334793183427</v>
      </c>
      <c r="AJ14" s="11">
        <f t="shared" si="4"/>
        <v>23.511383838416418</v>
      </c>
      <c r="AL14" s="11" t="str">
        <f t="shared" si="5"/>
        <v>0.978406763903258-0.144200251653909i</v>
      </c>
      <c r="AM14" s="11" t="str">
        <f t="shared" si="6"/>
        <v>0.999999937741954-0.000248159490973914i</v>
      </c>
      <c r="AN14" s="11" t="str">
        <f t="shared" si="11"/>
        <v>-405.201406882961+59.8224286771367i</v>
      </c>
      <c r="AO14" s="11">
        <f t="shared" si="12"/>
        <v>409.59358285105259</v>
      </c>
      <c r="AP14" s="11">
        <f t="shared" si="13"/>
        <v>2.9950152095769429</v>
      </c>
      <c r="AQ14" s="11">
        <f t="shared" si="14"/>
        <v>171.60173108624858</v>
      </c>
      <c r="AR14" s="11">
        <f t="shared" si="15"/>
        <v>52.247062877607</v>
      </c>
      <c r="AS14" s="11">
        <f t="shared" si="16"/>
        <v>75.758446716023414</v>
      </c>
      <c r="AT14" s="11">
        <f t="shared" si="17"/>
        <v>169.58749760693024</v>
      </c>
    </row>
    <row r="15" spans="1:46" x14ac:dyDescent="0.25">
      <c r="S15" s="11" t="s">
        <v>121</v>
      </c>
      <c r="T15" s="11">
        <f>1*10^-12</f>
        <v>9.9999999999999998E-13</v>
      </c>
      <c r="U15" s="11" t="s">
        <v>122</v>
      </c>
      <c r="Y15" s="11">
        <v>13</v>
      </c>
      <c r="Z15" s="11">
        <f t="shared" si="7"/>
        <v>2.4547089156850301</v>
      </c>
      <c r="AA15" s="11" t="str">
        <f t="shared" si="8"/>
        <v>15.4233909924349i</v>
      </c>
      <c r="AB15" s="11">
        <f>$T$6/'5. Current Sense Resistor'!$B$11</f>
        <v>100</v>
      </c>
      <c r="AD15" s="11" t="str">
        <f t="shared" si="0"/>
        <v>0.998596823054844-0.0373556759763838i</v>
      </c>
      <c r="AE15" s="11" t="str">
        <f t="shared" si="1"/>
        <v>0.999999977775176-0.000276260148798662i</v>
      </c>
      <c r="AF15" s="11" t="str">
        <f t="shared" si="9"/>
        <v>14.9699913373917-0.56414136693341i</v>
      </c>
      <c r="AG15" s="11">
        <f t="shared" si="10"/>
        <v>14.980617347875487</v>
      </c>
      <c r="AH15" s="11">
        <f t="shared" si="2"/>
        <v>-3.7666991737149214E-2</v>
      </c>
      <c r="AI15" s="11">
        <f t="shared" si="3"/>
        <v>-2.1581596534927949</v>
      </c>
      <c r="AJ15" s="11">
        <f t="shared" si="4"/>
        <v>23.510594218205227</v>
      </c>
      <c r="AL15" s="11" t="str">
        <f t="shared" si="5"/>
        <v>0.975287943748136-0.154012924953664i</v>
      </c>
      <c r="AM15" s="11" t="str">
        <f t="shared" si="6"/>
        <v>0.999999928518199-0.000265907682876939i</v>
      </c>
      <c r="AN15" s="11" t="str">
        <f t="shared" si="11"/>
        <v>-403.907574283527+63.8932860485342i</v>
      </c>
      <c r="AO15" s="11">
        <f t="shared" si="12"/>
        <v>408.92992133821986</v>
      </c>
      <c r="AP15" s="11">
        <f t="shared" si="13"/>
        <v>2.9847047692580828</v>
      </c>
      <c r="AQ15" s="11">
        <f t="shared" si="14"/>
        <v>171.01098637105636</v>
      </c>
      <c r="AR15" s="11">
        <f t="shared" si="15"/>
        <v>52.232977779521988</v>
      </c>
      <c r="AS15" s="11">
        <f t="shared" si="16"/>
        <v>75.743571997727216</v>
      </c>
      <c r="AT15" s="11">
        <f t="shared" si="17"/>
        <v>168.85282671756357</v>
      </c>
    </row>
    <row r="16" spans="1:46" x14ac:dyDescent="0.25">
      <c r="S16" s="11" t="s">
        <v>123</v>
      </c>
      <c r="T16" s="11">
        <f>3*10^6</f>
        <v>3000000</v>
      </c>
      <c r="U16" s="12" t="s">
        <v>43</v>
      </c>
      <c r="Y16" s="11">
        <v>14</v>
      </c>
      <c r="Z16" s="11">
        <f t="shared" si="7"/>
        <v>2.6302679918953817</v>
      </c>
      <c r="AA16" s="11" t="str">
        <f t="shared" si="8"/>
        <v>16.5264612006218i</v>
      </c>
      <c r="AB16" s="11">
        <f>$T$6/'5. Current Sense Resistor'!$B$11</f>
        <v>100</v>
      </c>
      <c r="AD16" s="11" t="str">
        <f t="shared" si="0"/>
        <v>0.998389273536458-0.0400189742939789i</v>
      </c>
      <c r="AE16" s="11" t="str">
        <f t="shared" si="1"/>
        <v>0.999999974482487-0.000296018082447666i</v>
      </c>
      <c r="AF16" s="11" t="str">
        <f t="shared" si="9"/>
        <v>14.9668569922754-0.604362211083252i</v>
      </c>
      <c r="AG16" s="11">
        <f t="shared" si="10"/>
        <v>14.979054105964384</v>
      </c>
      <c r="AH16" s="11">
        <f t="shared" si="2"/>
        <v>-4.0358109388302595E-2</v>
      </c>
      <c r="AI16" s="11">
        <f t="shared" si="3"/>
        <v>-2.3123493370770429</v>
      </c>
      <c r="AJ16" s="11">
        <f t="shared" si="4"/>
        <v>23.509687789925419</v>
      </c>
      <c r="AL16" s="11" t="str">
        <f t="shared" si="5"/>
        <v>0.971731880118692-0.164416428251219i</v>
      </c>
      <c r="AM16" s="11" t="str">
        <f t="shared" si="6"/>
        <v>0.999999917927913-0.000284925212563131i</v>
      </c>
      <c r="AN16" s="11" t="str">
        <f t="shared" si="11"/>
        <v>-402.432352622162+68.2092545959535i</v>
      </c>
      <c r="AO16" s="11">
        <f t="shared" si="12"/>
        <v>408.17190110239545</v>
      </c>
      <c r="AP16" s="11">
        <f t="shared" si="13"/>
        <v>2.9736958093819643</v>
      </c>
      <c r="AQ16" s="11">
        <f t="shared" si="14"/>
        <v>170.38021943332592</v>
      </c>
      <c r="AR16" s="11">
        <f t="shared" si="15"/>
        <v>52.216862084219997</v>
      </c>
      <c r="AS16" s="11">
        <f t="shared" si="16"/>
        <v>75.726549874145419</v>
      </c>
      <c r="AT16" s="11">
        <f t="shared" si="17"/>
        <v>168.06787009624887</v>
      </c>
    </row>
    <row r="17" spans="19:46" x14ac:dyDescent="0.25">
      <c r="S17" s="11" t="s">
        <v>124</v>
      </c>
      <c r="T17" s="11">
        <v>502</v>
      </c>
      <c r="U17" s="12" t="s">
        <v>43</v>
      </c>
      <c r="Y17" s="11">
        <v>15</v>
      </c>
      <c r="Z17" s="11">
        <f t="shared" si="7"/>
        <v>2.8183829312644537</v>
      </c>
      <c r="AA17" s="11" t="str">
        <f t="shared" si="8"/>
        <v>17.7084222237266i</v>
      </c>
      <c r="AB17" s="11">
        <f>$T$6/'5. Current Sense Resistor'!$B$11</f>
        <v>100</v>
      </c>
      <c r="AD17" s="11" t="str">
        <f t="shared" si="0"/>
        <v>0.998151081613332-0.042870830872815i</v>
      </c>
      <c r="AE17" s="11" t="str">
        <f t="shared" si="1"/>
        <v>0.999999970701976-0.00031718908972479i</v>
      </c>
      <c r="AF17" s="11" t="str">
        <f t="shared" si="9"/>
        <v>14.9632598955592-0.647430642192306i</v>
      </c>
      <c r="AG17" s="11">
        <f t="shared" si="10"/>
        <v>14.977259867495787</v>
      </c>
      <c r="AH17" s="11">
        <f t="shared" si="2"/>
        <v>-4.3241050209638331E-2</v>
      </c>
      <c r="AI17" s="11">
        <f t="shared" si="3"/>
        <v>-2.4775296787255603</v>
      </c>
      <c r="AJ17" s="11">
        <f t="shared" si="4"/>
        <v>23.508647304279883</v>
      </c>
      <c r="AL17" s="11" t="str">
        <f t="shared" si="5"/>
        <v>0.967681328834429-0.175429158747006i</v>
      </c>
      <c r="AM17" s="11" t="str">
        <f t="shared" si="6"/>
        <v>0.999999905768637-0.000305302862057378i</v>
      </c>
      <c r="AN17" s="11" t="str">
        <f t="shared" si="11"/>
        <v>-400.751994332873+72.7779668571809i</v>
      </c>
      <c r="AO17" s="11">
        <f t="shared" si="12"/>
        <v>407.30675592437694</v>
      </c>
      <c r="AP17" s="11">
        <f t="shared" si="13"/>
        <v>2.9619469686840127</v>
      </c>
      <c r="AQ17" s="11">
        <f t="shared" si="14"/>
        <v>169.70706044716175</v>
      </c>
      <c r="AR17" s="11">
        <f t="shared" si="15"/>
        <v>52.198432274214106</v>
      </c>
      <c r="AS17" s="11">
        <f t="shared" si="16"/>
        <v>75.707079578493989</v>
      </c>
      <c r="AT17" s="11">
        <f t="shared" si="17"/>
        <v>167.22953076843618</v>
      </c>
    </row>
    <row r="18" spans="19:46" x14ac:dyDescent="0.25">
      <c r="S18" s="11" t="s">
        <v>125</v>
      </c>
      <c r="T18" s="11">
        <v>1.1999999999999999E-3</v>
      </c>
      <c r="Y18" s="11">
        <v>16</v>
      </c>
      <c r="Z18" s="11">
        <f t="shared" si="7"/>
        <v>3.0199517204020156</v>
      </c>
      <c r="AA18" s="11" t="str">
        <f t="shared" si="8"/>
        <v>18.9749162780217i</v>
      </c>
      <c r="AB18" s="11">
        <f>$T$6/'5. Current Sense Resistor'!$B$11</f>
        <v>100</v>
      </c>
      <c r="AD18" s="11" t="str">
        <f t="shared" si="0"/>
        <v>0.997877741392807-0.0459242912822284i</v>
      </c>
      <c r="AE18" s="11" t="str">
        <f t="shared" si="1"/>
        <v>0.999999966361368-0.000339874232660487i</v>
      </c>
      <c r="AF18" s="11" t="str">
        <f t="shared" si="9"/>
        <v>14.9591320007224-0.693543673169074i</v>
      </c>
      <c r="AG18" s="11">
        <f t="shared" si="10"/>
        <v>14.97520060104805</v>
      </c>
      <c r="AH18" s="11">
        <f t="shared" si="2"/>
        <v>-4.6329385419749194E-2</v>
      </c>
      <c r="AI18" s="11">
        <f t="shared" si="3"/>
        <v>-2.6544782519865606</v>
      </c>
      <c r="AJ18" s="11">
        <f t="shared" si="4"/>
        <v>23.507452974275015</v>
      </c>
      <c r="AL18" s="11" t="str">
        <f t="shared" si="5"/>
        <v>0.963072784477821-0.187065994077097i</v>
      </c>
      <c r="AM18" s="11" t="str">
        <f t="shared" si="6"/>
        <v>0.999999891807921-0.000327137906021642i</v>
      </c>
      <c r="AN18" s="11" t="str">
        <f t="shared" si="11"/>
        <v>-398.840154395384+77.6055953270639i</v>
      </c>
      <c r="AO18" s="11">
        <f t="shared" si="12"/>
        <v>406.32019047076869</v>
      </c>
      <c r="AP18" s="11">
        <f t="shared" si="13"/>
        <v>2.9494157665732419</v>
      </c>
      <c r="AQ18" s="11">
        <f t="shared" si="14"/>
        <v>168.98907545398913</v>
      </c>
      <c r="AR18" s="11">
        <f t="shared" si="15"/>
        <v>52.177368068097394</v>
      </c>
      <c r="AS18" s="11">
        <f t="shared" si="16"/>
        <v>75.684821042372405</v>
      </c>
      <c r="AT18" s="11">
        <f t="shared" si="17"/>
        <v>166.33459720200256</v>
      </c>
    </row>
    <row r="19" spans="19:46" x14ac:dyDescent="0.25">
      <c r="S19" s="11" t="s">
        <v>126</v>
      </c>
      <c r="T19" s="11">
        <f>0.5*(comp_R2+Rotaesd)/(comp_R2*Rotaesd*comp_C2)*(1-(1-4*comp_R2*Rotaesd*comp_C2/((comp_R2+Rotaesd)^2*comp_C1))^0.5)</f>
        <v>6228.2829387476677</v>
      </c>
      <c r="Y19" s="11">
        <v>17</v>
      </c>
      <c r="Z19" s="11">
        <f t="shared" si="7"/>
        <v>3.2359365692962818</v>
      </c>
      <c r="AA19" s="11" t="str">
        <f t="shared" si="8"/>
        <v>20.3319891071675i</v>
      </c>
      <c r="AB19" s="11">
        <f>$T$6/'5. Current Sense Resistor'!$B$11</f>
        <v>100</v>
      </c>
      <c r="AD19" s="11" t="str">
        <f t="shared" si="0"/>
        <v>0.997564090151686-0.0491932335655492i</v>
      </c>
      <c r="AE19" s="11" t="str">
        <f t="shared" si="1"/>
        <v>0.999999961377682-0.000364181801168273i</v>
      </c>
      <c r="AF19" s="11" t="str">
        <f t="shared" si="9"/>
        <v>14.9543953420033-0.742910888885644i</v>
      </c>
      <c r="AG19" s="11">
        <f t="shared" si="10"/>
        <v>14.972837294038658</v>
      </c>
      <c r="AH19" s="11">
        <f t="shared" si="2"/>
        <v>-4.9637622955086523E-2</v>
      </c>
      <c r="AI19" s="11">
        <f t="shared" si="3"/>
        <v>-2.8440263003881512</v>
      </c>
      <c r="AJ19" s="11">
        <f t="shared" si="4"/>
        <v>23.506082104905946</v>
      </c>
      <c r="AL19" s="11" t="str">
        <f t="shared" si="5"/>
        <v>0.957836173749545-0.199337175398898i</v>
      </c>
      <c r="AM19" s="11" t="str">
        <f t="shared" si="6"/>
        <v>0.999999875778875-0.000350534576096881i</v>
      </c>
      <c r="AN19" s="11" t="str">
        <f t="shared" si="11"/>
        <v>-396.667763124503+82.6963891118407i</v>
      </c>
      <c r="AO19" s="11">
        <f t="shared" si="12"/>
        <v>405.19625747819259</v>
      </c>
      <c r="AP19" s="11">
        <f t="shared" si="13"/>
        <v>2.9360588920327979</v>
      </c>
      <c r="AQ19" s="11">
        <f t="shared" si="14"/>
        <v>168.22378291533596</v>
      </c>
      <c r="AR19" s="11">
        <f t="shared" si="15"/>
        <v>52.153308508489651</v>
      </c>
      <c r="AS19" s="11">
        <f t="shared" si="16"/>
        <v>75.659390613395601</v>
      </c>
      <c r="AT19" s="11">
        <f t="shared" si="17"/>
        <v>165.37975661494781</v>
      </c>
    </row>
    <row r="20" spans="19:46" x14ac:dyDescent="0.25">
      <c r="S20" s="11" t="s">
        <v>127</v>
      </c>
      <c r="T20" s="11">
        <f>0.5*(comp_R2+Rotaesd)/(comp_R2*Rotaesd*comp_C2)*(1+(1-4*comp_R2*Rotaesd*comp_C2/((comp_R2+Rotaesd)^2*comp_C1))^0.5)</f>
        <v>5292553.9508876894</v>
      </c>
      <c r="Y20" s="11">
        <v>18</v>
      </c>
      <c r="Z20" s="11">
        <f t="shared" si="7"/>
        <v>3.4673685045253162</v>
      </c>
      <c r="AA20" s="11" t="str">
        <f t="shared" si="8"/>
        <v>21.7861188422107i</v>
      </c>
      <c r="AB20" s="11">
        <f>$T$6/'5. Current Sense Resistor'!$B$11</f>
        <v>100</v>
      </c>
      <c r="AD20" s="11" t="str">
        <f t="shared" si="0"/>
        <v>0.997204214413859-0.0526924049473419i</v>
      </c>
      <c r="AE20" s="11" t="str">
        <f t="shared" si="1"/>
        <v>0.999999955655646-0.000390227829977161i</v>
      </c>
      <c r="AF20" s="11" t="str">
        <f t="shared" si="9"/>
        <v>14.9489606160149-0.795755000533706i</v>
      </c>
      <c r="AG20" s="11">
        <f t="shared" si="10"/>
        <v>14.970125233946408</v>
      </c>
      <c r="AH20" s="11">
        <f t="shared" si="2"/>
        <v>-5.3181266724908409E-2</v>
      </c>
      <c r="AI20" s="11">
        <f t="shared" si="3"/>
        <v>-3.0470621324967739</v>
      </c>
      <c r="AJ20" s="11">
        <f t="shared" si="4"/>
        <v>23.504508669766025</v>
      </c>
      <c r="AL20" s="11" t="str">
        <f t="shared" si="5"/>
        <v>0.95189466137307-0.212247000340395i</v>
      </c>
      <c r="AM20" s="11" t="str">
        <f t="shared" si="6"/>
        <v>0.999999857375067-0.000375604558452778i</v>
      </c>
      <c r="AN20" s="11" t="str">
        <f t="shared" si="11"/>
        <v>-394.202945650239+88.0521317061634i</v>
      </c>
      <c r="AO20" s="11">
        <f t="shared" si="12"/>
        <v>403.91724431784888</v>
      </c>
      <c r="AP20" s="11">
        <f t="shared" si="13"/>
        <v>2.9218325777543237</v>
      </c>
      <c r="AQ20" s="11">
        <f t="shared" si="14"/>
        <v>167.40867514915269</v>
      </c>
      <c r="AR20" s="11">
        <f t="shared" si="15"/>
        <v>52.125847895398692</v>
      </c>
      <c r="AS20" s="11">
        <f t="shared" si="16"/>
        <v>75.630356565164718</v>
      </c>
      <c r="AT20" s="11">
        <f t="shared" si="17"/>
        <v>164.36161301665592</v>
      </c>
    </row>
    <row r="21" spans="19:46" x14ac:dyDescent="0.25">
      <c r="S21" s="11" t="s">
        <v>128</v>
      </c>
      <c r="T21" s="11">
        <f>0.5*(R0+comp_R2+Rotaesd)/(comp_R2*(R0+Rotaesd)*comp_C2)*(1-(1-4*comp_R2*(R0++Rotaesd)*comp_C2/((R0+comp_R2+Rotaesd)^2*comp_C1))^0.5)</f>
        <v>96.123185186976116</v>
      </c>
      <c r="Y21" s="11">
        <v>19</v>
      </c>
      <c r="Z21" s="11">
        <f t="shared" si="7"/>
        <v>3.7153522909717256</v>
      </c>
      <c r="AA21" s="11" t="str">
        <f t="shared" si="8"/>
        <v>23.3442469256296i</v>
      </c>
      <c r="AB21" s="11">
        <f>$T$6/'5. Current Sense Resistor'!$B$11</f>
        <v>100</v>
      </c>
      <c r="AD21" s="11" t="str">
        <f t="shared" si="0"/>
        <v>0.996791343178098-0.0564374560394498i</v>
      </c>
      <c r="AE21" s="11" t="str">
        <f t="shared" si="1"/>
        <v>0.999999949085869-0.000418136652534609i</v>
      </c>
      <c r="AF21" s="11" t="str">
        <f t="shared" si="9"/>
        <v>14.9427255693056-0.852312362209402i</v>
      </c>
      <c r="AG21" s="11">
        <f t="shared" si="10"/>
        <v>14.967013189088673</v>
      </c>
      <c r="AH21" s="11">
        <f t="shared" si="2"/>
        <v>-5.6976878348623652E-2</v>
      </c>
      <c r="AI21" s="11">
        <f t="shared" si="3"/>
        <v>-3.2645346592064546</v>
      </c>
      <c r="AJ21" s="11">
        <f t="shared" si="4"/>
        <v>23.502702827277112</v>
      </c>
      <c r="AL21" s="11" t="str">
        <f t="shared" si="5"/>
        <v>0.945164617978437-0.225792316096105i</v>
      </c>
      <c r="AM21" s="11" t="str">
        <f t="shared" si="6"/>
        <v>0.99999983624467-0.000402467526919897i</v>
      </c>
      <c r="AN21" s="11" t="str">
        <f t="shared" si="11"/>
        <v>-391.411008594455+93.671515861825i</v>
      </c>
      <c r="AO21" s="11">
        <f t="shared" si="12"/>
        <v>402.46357665356578</v>
      </c>
      <c r="AP21" s="11">
        <f t="shared" si="13"/>
        <v>2.9066930732450826</v>
      </c>
      <c r="AQ21" s="11">
        <f t="shared" si="14"/>
        <v>166.5412454368539</v>
      </c>
      <c r="AR21" s="11">
        <f t="shared" si="15"/>
        <v>52.094531648157734</v>
      </c>
      <c r="AS21" s="11">
        <f t="shared" si="16"/>
        <v>75.597234475434846</v>
      </c>
      <c r="AT21" s="11">
        <f t="shared" si="17"/>
        <v>163.27671077764745</v>
      </c>
    </row>
    <row r="22" spans="19:46" x14ac:dyDescent="0.25">
      <c r="S22" s="11" t="s">
        <v>129</v>
      </c>
      <c r="T22" s="11">
        <f>0.5*(R0+comp_R2+Rotaesd)/(comp_R2*(R0+Rotaesd)*comp_C2)*(1+(1-4*comp_R2*(R0++Rotaesd)*comp_C2/((R0+comp_R2+Rotaesd)^2*comp_C1))^0.5)</f>
        <v>57374.018680532747</v>
      </c>
      <c r="Y22" s="11">
        <v>20</v>
      </c>
      <c r="Z22" s="11">
        <f t="shared" si="7"/>
        <v>3.9810717055349727</v>
      </c>
      <c r="AA22" s="11" t="str">
        <f t="shared" si="8"/>
        <v>25.0138112470457i</v>
      </c>
      <c r="AB22" s="11">
        <f>$T$6/'5. Current Sense Resistor'!$B$11</f>
        <v>100</v>
      </c>
      <c r="AD22" s="11" t="str">
        <f t="shared" si="0"/>
        <v>0.996317726724337-0.0604449712397298i</v>
      </c>
      <c r="AE22" s="11" t="str">
        <f t="shared" si="1"/>
        <v>0.999999941542757-0.00044804149452398i</v>
      </c>
      <c r="AF22" s="11" t="str">
        <f t="shared" si="9"/>
        <v>14.9355731681311-0.912833430002608i</v>
      </c>
      <c r="AG22" s="11">
        <f t="shared" si="10"/>
        <v>14.963442475965481</v>
      </c>
      <c r="AH22" s="11">
        <f t="shared" si="2"/>
        <v>-6.1042141159642335E-2</v>
      </c>
      <c r="AI22" s="11">
        <f t="shared" si="3"/>
        <v>-3.4974570608893147</v>
      </c>
      <c r="AJ22" s="11">
        <f t="shared" si="4"/>
        <v>23.500630368333518</v>
      </c>
      <c r="AL22" s="11" t="str">
        <f t="shared" si="5"/>
        <v>0.937555809983291-0.23996081131122i</v>
      </c>
      <c r="AM22" s="11" t="str">
        <f t="shared" si="6"/>
        <v>0.99999981198373-0.000431251714248669i</v>
      </c>
      <c r="AN22" s="11" t="str">
        <f t="shared" si="11"/>
        <v>-388.254518842367+99.549434984631i</v>
      </c>
      <c r="AO22" s="11">
        <f t="shared" si="12"/>
        <v>400.81374902475244</v>
      </c>
      <c r="AP22" s="11">
        <f t="shared" si="13"/>
        <v>2.8905972310582961</v>
      </c>
      <c r="AQ22" s="11">
        <f t="shared" si="14"/>
        <v>165.61902161184241</v>
      </c>
      <c r="AR22" s="11">
        <f t="shared" si="15"/>
        <v>52.058852212431646</v>
      </c>
      <c r="AS22" s="11">
        <f t="shared" si="16"/>
        <v>75.559482580765163</v>
      </c>
      <c r="AT22" s="11">
        <f t="shared" si="17"/>
        <v>162.12156455095311</v>
      </c>
    </row>
    <row r="23" spans="19:46" x14ac:dyDescent="0.25">
      <c r="S23" s="11" t="s">
        <v>130</v>
      </c>
      <c r="T23" s="11">
        <f>$B$9*10^-9</f>
        <v>3.4200000000000002E-9</v>
      </c>
      <c r="U23" s="11" t="s">
        <v>122</v>
      </c>
      <c r="Y23" s="11">
        <v>21</v>
      </c>
      <c r="Z23" s="11">
        <f t="shared" si="7"/>
        <v>4.2657951880159262</v>
      </c>
      <c r="AA23" s="11" t="str">
        <f t="shared" si="8"/>
        <v>26.802781648779i</v>
      </c>
      <c r="AB23" s="11">
        <f>$T$6/'5. Current Sense Resistor'!$B$11</f>
        <v>100</v>
      </c>
      <c r="AD23" s="11" t="str">
        <f t="shared" si="0"/>
        <v>0.995774499296064-0.0647324936859294i</v>
      </c>
      <c r="AE23" s="11" t="str">
        <f t="shared" si="1"/>
        <v>0.999999932882105-0.000480085109829746i</v>
      </c>
      <c r="AF23" s="11" t="str">
        <f t="shared" si="9"/>
        <v>14.9273695247287-0.977583138861001i</v>
      </c>
      <c r="AG23" s="11">
        <f t="shared" si="10"/>
        <v>14.95934589884145</v>
      </c>
      <c r="AH23" s="11">
        <f t="shared" si="2"/>
        <v>-6.5395926158215115E-2</v>
      </c>
      <c r="AI23" s="11">
        <f t="shared" si="3"/>
        <v>-3.7469105662149063</v>
      </c>
      <c r="AJ23" s="11">
        <f t="shared" si="4"/>
        <v>23.498252086164779</v>
      </c>
      <c r="AL23" s="11" t="str">
        <f t="shared" si="5"/>
        <v>0.928971882140498-0.254729117893713i</v>
      </c>
      <c r="AM23" s="11" t="str">
        <f t="shared" si="6"/>
        <v>0.999999784128445-0.000462094524221415i</v>
      </c>
      <c r="AN23" s="11" t="str">
        <f t="shared" si="11"/>
        <v>-384.693503725835+105.676195680728i</v>
      </c>
      <c r="AO23" s="11">
        <f t="shared" si="12"/>
        <v>398.94429453547838</v>
      </c>
      <c r="AP23" s="11">
        <f t="shared" si="13"/>
        <v>2.8735032199822719</v>
      </c>
      <c r="AQ23" s="11">
        <f t="shared" si="14"/>
        <v>164.63960692223634</v>
      </c>
      <c r="AR23" s="11">
        <f t="shared" si="15"/>
        <v>52.018245168631893</v>
      </c>
      <c r="AS23" s="11">
        <f t="shared" si="16"/>
        <v>75.516497254796676</v>
      </c>
      <c r="AT23" s="11">
        <f t="shared" si="17"/>
        <v>160.89269635602145</v>
      </c>
    </row>
    <row r="24" spans="19:46" x14ac:dyDescent="0.25">
      <c r="S24" s="11" t="s">
        <v>131</v>
      </c>
      <c r="T24" s="11">
        <f>$B$10*10^-9</f>
        <v>3.8000000000000003E-10</v>
      </c>
      <c r="U24" s="11" t="s">
        <v>122</v>
      </c>
      <c r="Y24" s="11">
        <v>22</v>
      </c>
      <c r="Z24" s="11">
        <f t="shared" si="7"/>
        <v>4.570881896148749</v>
      </c>
      <c r="AA24" s="11" t="str">
        <f t="shared" si="8"/>
        <v>28.719697970735i</v>
      </c>
      <c r="AB24" s="11">
        <f>$T$6/'5. Current Sense Resistor'!$B$11</f>
        <v>100</v>
      </c>
      <c r="AD24" s="11" t="str">
        <f t="shared" si="0"/>
        <v>0.995151523837158-0.069318542725825i</v>
      </c>
      <c r="AE24" s="11" t="str">
        <f t="shared" si="1"/>
        <v>0.999999922938345-0.000514420461986142i</v>
      </c>
      <c r="AF24" s="11" t="str">
        <f t="shared" si="9"/>
        <v>14.9179615525839-1.04684116643849i</v>
      </c>
      <c r="AG24" s="11">
        <f t="shared" si="10"/>
        <v>14.954646545877363</v>
      </c>
      <c r="AH24" s="11">
        <f t="shared" si="2"/>
        <v>-7.0058359468763418E-2</v>
      </c>
      <c r="AI24" s="11">
        <f t="shared" si="3"/>
        <v>-4.0140483171705323</v>
      </c>
      <c r="AJ24" s="11">
        <f t="shared" si="4"/>
        <v>23.495523058160401</v>
      </c>
      <c r="AL24" s="11" t="str">
        <f t="shared" si="5"/>
        <v>0.919311213005538-0.270060751428671i</v>
      </c>
      <c r="AM24" s="11" t="str">
        <f t="shared" si="6"/>
        <v>0.9999997521463-0.000495143187538541i</v>
      </c>
      <c r="AN24" s="11" t="str">
        <f t="shared" si="11"/>
        <v>-380.685805911216+112.036663347834i</v>
      </c>
      <c r="AO24" s="11">
        <f t="shared" si="12"/>
        <v>396.82980830122619</v>
      </c>
      <c r="AP24" s="11">
        <f t="shared" si="13"/>
        <v>2.8553713776608003</v>
      </c>
      <c r="AQ24" s="11">
        <f t="shared" si="14"/>
        <v>163.60072888241933</v>
      </c>
      <c r="AR24" s="11">
        <f t="shared" si="15"/>
        <v>51.972085744164723</v>
      </c>
      <c r="AS24" s="11">
        <f t="shared" si="16"/>
        <v>75.467608802325117</v>
      </c>
      <c r="AT24" s="11">
        <f t="shared" si="17"/>
        <v>159.5866805652488</v>
      </c>
    </row>
    <row r="25" spans="19:46" x14ac:dyDescent="0.25">
      <c r="Y25" s="11">
        <v>23</v>
      </c>
      <c r="Z25" s="11">
        <f t="shared" si="7"/>
        <v>4.8977881936844616</v>
      </c>
      <c r="AA25" s="11" t="str">
        <f t="shared" si="8"/>
        <v>30.7737108162359i</v>
      </c>
      <c r="AB25" s="11">
        <f>$T$6/'5. Current Sense Resistor'!$B$11</f>
        <v>100</v>
      </c>
      <c r="AD25" s="11" t="str">
        <f t="shared" si="0"/>
        <v>0.994437216864209-0.0742226213812944i</v>
      </c>
      <c r="AE25" s="11" t="str">
        <f t="shared" si="1"/>
        <v>0.999999911521383-0.000551211454362172i</v>
      </c>
      <c r="AF25" s="11" t="str">
        <f t="shared" si="9"/>
        <v>14.9071743217089-1.12090204583678i</v>
      </c>
      <c r="AG25" s="11">
        <f t="shared" si="10"/>
        <v>14.949256424791781</v>
      </c>
      <c r="AH25" s="11">
        <f t="shared" si="2"/>
        <v>-7.5050890699634498E-2</v>
      </c>
      <c r="AI25" s="11">
        <f t="shared" si="3"/>
        <v>-4.3000992857866995</v>
      </c>
      <c r="AJ25" s="11">
        <f t="shared" si="4"/>
        <v>23.492391828271238</v>
      </c>
      <c r="AL25" s="11" t="str">
        <f t="shared" si="5"/>
        <v>0.908468230418136-0.28590394218455i</v>
      </c>
      <c r="AM25" s="11" t="str">
        <f t="shared" si="6"/>
        <v>0.999999715425887-0.000530555464608698i</v>
      </c>
      <c r="AN25" s="11" t="str">
        <f t="shared" si="11"/>
        <v>-376.187629122647+118.609362379143i</v>
      </c>
      <c r="AO25" s="11">
        <f t="shared" si="12"/>
        <v>394.44304170425556</v>
      </c>
      <c r="AP25" s="11">
        <f t="shared" si="13"/>
        <v>2.8361652123245888</v>
      </c>
      <c r="AQ25" s="11">
        <f t="shared" si="14"/>
        <v>162.50029666802394</v>
      </c>
      <c r="AR25" s="11">
        <f t="shared" si="15"/>
        <v>51.919685983128552</v>
      </c>
      <c r="AS25" s="11">
        <f t="shared" si="16"/>
        <v>75.412077811399797</v>
      </c>
      <c r="AT25" s="11">
        <f t="shared" si="17"/>
        <v>158.20019738223723</v>
      </c>
    </row>
    <row r="26" spans="19:46" x14ac:dyDescent="0.25">
      <c r="Y26" s="11">
        <v>24</v>
      </c>
      <c r="Z26" s="11">
        <f t="shared" si="7"/>
        <v>5.2480746024977245</v>
      </c>
      <c r="AA26" s="11" t="str">
        <f t="shared" si="8"/>
        <v>32.974625233396i</v>
      </c>
      <c r="AB26" s="11">
        <f>$T$6/'5. Current Sense Resistor'!$B$11</f>
        <v>100</v>
      </c>
      <c r="AD26" s="11" t="str">
        <f t="shared" si="0"/>
        <v>0.993618351494551-0.0794652107049459i</v>
      </c>
      <c r="AE26" s="11" t="str">
        <f t="shared" si="1"/>
        <v>0.999999898412955-0.000590633712568483i</v>
      </c>
      <c r="AF26" s="11" t="str">
        <f t="shared" si="9"/>
        <v>14.8948080840366-1.20007508040406i</v>
      </c>
      <c r="AG26" s="11">
        <f t="shared" si="10"/>
        <v>14.943074919804454</v>
      </c>
      <c r="AH26" s="11">
        <f t="shared" si="2"/>
        <v>-8.0396361408849579E-2</v>
      </c>
      <c r="AI26" s="11">
        <f t="shared" si="3"/>
        <v>-4.606372196935526</v>
      </c>
      <c r="AJ26" s="11">
        <f t="shared" si="4"/>
        <v>23.488799477426237</v>
      </c>
      <c r="AL26" s="11" t="str">
        <f t="shared" si="5"/>
        <v>0.896335275893348-0.302189438155269i</v>
      </c>
      <c r="AM26" s="11" t="str">
        <f t="shared" si="6"/>
        <v>0.999999673265216-0.000568500398596483i</v>
      </c>
      <c r="AN26" s="11" t="str">
        <f t="shared" si="11"/>
        <v>-371.154311578644+125.365564766681i</v>
      </c>
      <c r="AO26" s="11">
        <f t="shared" si="12"/>
        <v>391.75508654347561</v>
      </c>
      <c r="AP26" s="11">
        <f t="shared" si="13"/>
        <v>2.815852558670267</v>
      </c>
      <c r="AQ26" s="11">
        <f t="shared" si="14"/>
        <v>161.33646734292032</v>
      </c>
      <c r="AR26" s="11">
        <f t="shared" si="15"/>
        <v>51.860292881034482</v>
      </c>
      <c r="AS26" s="11">
        <f t="shared" si="16"/>
        <v>75.349092358460723</v>
      </c>
      <c r="AT26" s="11">
        <f t="shared" si="17"/>
        <v>156.73009514598479</v>
      </c>
    </row>
    <row r="27" spans="19:46" x14ac:dyDescent="0.25">
      <c r="Y27" s="11">
        <v>25</v>
      </c>
      <c r="Z27" s="11">
        <f t="shared" si="7"/>
        <v>5.6234132519034903</v>
      </c>
      <c r="AA27" s="11" t="str">
        <f t="shared" si="8"/>
        <v>35.332947520559i</v>
      </c>
      <c r="AB27" s="11">
        <f>$T$6/'5. Current Sense Resistor'!$B$11</f>
        <v>100</v>
      </c>
      <c r="AD27" s="11" t="str">
        <f t="shared" si="0"/>
        <v>0.992679836645675-0.0850677472389044i</v>
      </c>
      <c r="AE27" s="11" t="str">
        <f t="shared" si="1"/>
        <v>0.999999883362468-0.000632875422820864i</v>
      </c>
      <c r="AF27" s="11" t="str">
        <f t="shared" si="9"/>
        <v>14.8806349389617-1.28468400334977i</v>
      </c>
      <c r="AG27" s="11">
        <f t="shared" si="10"/>
        <v>14.935987050580568</v>
      </c>
      <c r="AH27" s="11">
        <f t="shared" si="2"/>
        <v>-8.6119072641232502E-2</v>
      </c>
      <c r="AI27" s="11">
        <f t="shared" si="3"/>
        <v>-4.9342593979231779</v>
      </c>
      <c r="AJ27" s="11">
        <f t="shared" si="4"/>
        <v>23.484678568204686</v>
      </c>
      <c r="AL27" s="11" t="str">
        <f t="shared" si="5"/>
        <v>0.882805100652353-0.318828396821638i</v>
      </c>
      <c r="AM27" s="11" t="str">
        <f t="shared" si="6"/>
        <v>0.999999624858293-0.000609159122320713i</v>
      </c>
      <c r="AN27" s="11" t="str">
        <f t="shared" si="11"/>
        <v>-365.541361462402+132.26841550989i</v>
      </c>
      <c r="AO27" s="11">
        <f t="shared" si="12"/>
        <v>388.7356694224024</v>
      </c>
      <c r="AP27" s="11">
        <f t="shared" si="13"/>
        <v>2.7944068860060418</v>
      </c>
      <c r="AQ27" s="11">
        <f t="shared" si="14"/>
        <v>160.10772081044115</v>
      </c>
      <c r="AR27" s="11">
        <f t="shared" si="15"/>
        <v>51.79308784491711</v>
      </c>
      <c r="AS27" s="11">
        <f t="shared" si="16"/>
        <v>75.277766413121796</v>
      </c>
      <c r="AT27" s="11">
        <f t="shared" si="17"/>
        <v>155.17346141251798</v>
      </c>
    </row>
    <row r="28" spans="19:46" x14ac:dyDescent="0.25">
      <c r="Y28" s="11">
        <v>26</v>
      </c>
      <c r="Z28" s="11">
        <f t="shared" si="7"/>
        <v>6.0255958607435751</v>
      </c>
      <c r="AA28" s="11" t="str">
        <f t="shared" si="8"/>
        <v>37.8599353792262i</v>
      </c>
      <c r="AB28" s="11">
        <f>$T$6/'5. Current Sense Resistor'!$B$11</f>
        <v>100</v>
      </c>
      <c r="AD28" s="11" t="str">
        <f t="shared" si="0"/>
        <v>0.991604470499469-0.0910525789715873i</v>
      </c>
      <c r="AE28" s="11" t="str">
        <f t="shared" si="1"/>
        <v>0.999999866082195-0.000678138230262166i</v>
      </c>
      <c r="AF28" s="11" t="str">
        <f t="shared" si="9"/>
        <v>14.8643951102386-1.37506631264471i</v>
      </c>
      <c r="AG28" s="11">
        <f t="shared" si="10"/>
        <v>14.927861513205952</v>
      </c>
      <c r="AH28" s="11">
        <f t="shared" si="2"/>
        <v>-9.2244850211986709E-2</v>
      </c>
      <c r="AI28" s="11">
        <f t="shared" si="3"/>
        <v>-5.2852405989632958</v>
      </c>
      <c r="AJ28" s="11">
        <f t="shared" si="4"/>
        <v>23.479951948828976</v>
      </c>
      <c r="AL28" s="11" t="str">
        <f t="shared" si="5"/>
        <v>0.867774058472971-0.335710521864727i</v>
      </c>
      <c r="AM28" s="11" t="str">
        <f t="shared" si="6"/>
        <v>0.999999569279715-0.00065272572285308i</v>
      </c>
      <c r="AN28" s="11" t="str">
        <f t="shared" si="11"/>
        <v>-359.305781465512+139.272159642079i</v>
      </c>
      <c r="AO28" s="11">
        <f t="shared" si="12"/>
        <v>385.35357666163037</v>
      </c>
      <c r="AP28" s="11">
        <f t="shared" si="13"/>
        <v>2.7718087472293265</v>
      </c>
      <c r="AQ28" s="11">
        <f t="shared" si="14"/>
        <v>158.81294283368442</v>
      </c>
      <c r="AR28" s="11">
        <f t="shared" si="15"/>
        <v>51.717187884953631</v>
      </c>
      <c r="AS28" s="11">
        <f t="shared" si="16"/>
        <v>75.197139833782614</v>
      </c>
      <c r="AT28" s="11">
        <f t="shared" si="17"/>
        <v>153.52770223472112</v>
      </c>
    </row>
    <row r="29" spans="19:46" x14ac:dyDescent="0.25">
      <c r="Y29" s="11">
        <v>27</v>
      </c>
      <c r="Z29" s="11">
        <f t="shared" si="7"/>
        <v>6.4565422903465537</v>
      </c>
      <c r="AA29" s="11" t="str">
        <f t="shared" si="8"/>
        <v>40.5676516538891i</v>
      </c>
      <c r="AB29" s="11">
        <f>$T$6/'5. Current Sense Resistor'!$B$11</f>
        <v>100</v>
      </c>
      <c r="AD29" s="11" t="str">
        <f t="shared" si="0"/>
        <v>0.990372666519104-0.0974428942357946i</v>
      </c>
      <c r="AE29" s="11" t="str">
        <f t="shared" si="1"/>
        <v>0.999999846241788-0.000726638201530756i</v>
      </c>
      <c r="AF29" s="11" t="str">
        <f t="shared" si="9"/>
        <v>14.8457928083773-1.47157219729162i</v>
      </c>
      <c r="AG29" s="11">
        <f t="shared" si="10"/>
        <v>14.918548483049845</v>
      </c>
      <c r="AH29" s="11">
        <f t="shared" si="2"/>
        <v>-9.8801106060438057E-2</v>
      </c>
      <c r="AI29" s="11">
        <f t="shared" si="3"/>
        <v>-5.6608863884875209</v>
      </c>
      <c r="AJ29" s="11">
        <f t="shared" si="4"/>
        <v>23.474531400443595</v>
      </c>
      <c r="AL29" s="11" t="str">
        <f t="shared" si="5"/>
        <v>0.851146028035109-0.352702641875167i</v>
      </c>
      <c r="AM29" s="11" t="str">
        <f t="shared" si="6"/>
        <v>0.999999505466976-0.000699408167941947i</v>
      </c>
      <c r="AN29" s="11" t="str">
        <f t="shared" si="11"/>
        <v>-352.4076959603+146.321552617817i</v>
      </c>
      <c r="AO29" s="11">
        <f t="shared" si="12"/>
        <v>381.57722800572861</v>
      </c>
      <c r="AP29" s="11">
        <f t="shared" si="13"/>
        <v>2.7480473448058218</v>
      </c>
      <c r="AQ29" s="11">
        <f t="shared" si="14"/>
        <v>157.45151475950567</v>
      </c>
      <c r="AR29" s="11">
        <f t="shared" si="15"/>
        <v>51.631648974385833</v>
      </c>
      <c r="AS29" s="11">
        <f t="shared" si="16"/>
        <v>75.106180374829421</v>
      </c>
      <c r="AT29" s="11">
        <f t="shared" si="17"/>
        <v>151.79062837101816</v>
      </c>
    </row>
    <row r="30" spans="19:46" x14ac:dyDescent="0.25">
      <c r="Y30" s="11">
        <v>28</v>
      </c>
      <c r="Z30" s="11">
        <f t="shared" si="7"/>
        <v>6.9183097091893631</v>
      </c>
      <c r="AA30" s="11" t="str">
        <f t="shared" si="8"/>
        <v>43.4690219152965i</v>
      </c>
      <c r="AB30" s="11">
        <f>$T$6/'5. Current Sense Resistor'!$B$11</f>
        <v>100</v>
      </c>
      <c r="AD30" s="11" t="str">
        <f t="shared" si="0"/>
        <v>0.988962150661819-0.104262616888241i</v>
      </c>
      <c r="AE30" s="11" t="str">
        <f t="shared" si="1"/>
        <v>0.999999823461953-0.000778606856170085i</v>
      </c>
      <c r="AF30" s="11" t="str">
        <f t="shared" si="9"/>
        <v>14.8244916580497-1.57456295439122i</v>
      </c>
      <c r="AG30" s="11">
        <f t="shared" si="10"/>
        <v>14.907877159975738</v>
      </c>
      <c r="AH30" s="11">
        <f t="shared" si="2"/>
        <v>-0.10581689357495742</v>
      </c>
      <c r="AI30" s="11">
        <f t="shared" si="3"/>
        <v>-6.062861403030058</v>
      </c>
      <c r="AJ30" s="11">
        <f t="shared" si="4"/>
        <v>23.468316110715072</v>
      </c>
      <c r="AL30" s="11" t="str">
        <f t="shared" si="5"/>
        <v>0.832837046887233-0.369647965159437i</v>
      </c>
      <c r="AM30" s="11" t="str">
        <f t="shared" si="6"/>
        <v>0.99999943220016-0.000749429298680574i</v>
      </c>
      <c r="AN30" s="11" t="str">
        <f t="shared" si="11"/>
        <v>-344.81227338585+153.351551177378i</v>
      </c>
      <c r="AO30" s="11">
        <f t="shared" si="12"/>
        <v>377.3754127205774</v>
      </c>
      <c r="AP30" s="11">
        <f t="shared" si="13"/>
        <v>2.7231221747565475</v>
      </c>
      <c r="AQ30" s="11">
        <f t="shared" si="14"/>
        <v>156.02340771203637</v>
      </c>
      <c r="AR30" s="11">
        <f t="shared" si="15"/>
        <v>51.535472020042555</v>
      </c>
      <c r="AS30" s="11">
        <f t="shared" si="16"/>
        <v>75.003788130757627</v>
      </c>
      <c r="AT30" s="11">
        <f t="shared" si="17"/>
        <v>149.9605463090063</v>
      </c>
    </row>
    <row r="31" spans="19:46" x14ac:dyDescent="0.25">
      <c r="Y31" s="11">
        <v>29</v>
      </c>
      <c r="Z31" s="11">
        <f t="shared" si="7"/>
        <v>7.4131024130091765</v>
      </c>
      <c r="AA31" s="11" t="str">
        <f t="shared" si="8"/>
        <v>46.5778961620368i</v>
      </c>
      <c r="AB31" s="11">
        <f>$T$6/'5. Current Sense Resistor'!$B$11</f>
        <v>100</v>
      </c>
      <c r="AD31" s="11" t="str">
        <f t="shared" si="0"/>
        <v>0.987347629003631-0.111536259849627i</v>
      </c>
      <c r="AE31" s="11" t="str">
        <f t="shared" si="1"/>
        <v>0.999999797307203-0.000834292271802644i</v>
      </c>
      <c r="AF31" s="11" t="str">
        <f t="shared" si="9"/>
        <v>14.8001096786666-1.68440877738478i</v>
      </c>
      <c r="AG31" s="11">
        <f t="shared" si="10"/>
        <v>14.895653038047429</v>
      </c>
      <c r="AH31" s="11">
        <f t="shared" si="2"/>
        <v>-0.11332295428547542</v>
      </c>
      <c r="AI31" s="11">
        <f t="shared" si="3"/>
        <v>-6.4929270025117072</v>
      </c>
      <c r="AJ31" s="11">
        <f t="shared" si="4"/>
        <v>23.461190956128345</v>
      </c>
      <c r="AL31" s="11" t="str">
        <f t="shared" si="5"/>
        <v>0.812780568908987-0.3863662708757i</v>
      </c>
      <c r="AM31" s="11" t="str">
        <f t="shared" si="6"/>
        <v>0.999999348078613-0.000803027893154598i</v>
      </c>
      <c r="AN31" s="11" t="str">
        <f t="shared" si="11"/>
        <v>-336.491907289392+160.2873926449i</v>
      </c>
      <c r="AO31" s="11">
        <f t="shared" si="12"/>
        <v>372.7181936961934</v>
      </c>
      <c r="AP31" s="11">
        <f t="shared" si="13"/>
        <v>2.6970446922317612</v>
      </c>
      <c r="AQ31" s="11">
        <f t="shared" si="14"/>
        <v>154.52927802303998</v>
      </c>
      <c r="AR31" s="11">
        <f t="shared" si="15"/>
        <v>51.42761185448709</v>
      </c>
      <c r="AS31" s="11">
        <f t="shared" si="16"/>
        <v>74.888802810615431</v>
      </c>
      <c r="AT31" s="11">
        <f t="shared" si="17"/>
        <v>148.03635102052826</v>
      </c>
    </row>
    <row r="32" spans="19:46" x14ac:dyDescent="0.25">
      <c r="Y32" s="11">
        <v>30</v>
      </c>
      <c r="Z32" s="11">
        <f t="shared" si="7"/>
        <v>7.943282347242814</v>
      </c>
      <c r="AA32" s="11" t="str">
        <f t="shared" si="8"/>
        <v>49.909114934975i</v>
      </c>
      <c r="AB32" s="11">
        <f>$T$6/'5. Current Sense Resistor'!$B$11</f>
        <v>100</v>
      </c>
      <c r="AD32" s="11" t="str">
        <f t="shared" si="0"/>
        <v>0.985500425853136-0.119288727666231i</v>
      </c>
      <c r="AE32" s="11" t="str">
        <f t="shared" si="1"/>
        <v>0.999999767277534-0.000893960268343546i</v>
      </c>
      <c r="AF32" s="11" t="str">
        <f t="shared" si="9"/>
        <v>14.77221381929-1.80148577443881i</v>
      </c>
      <c r="AG32" s="11">
        <f t="shared" si="10"/>
        <v>14.881654885070002</v>
      </c>
      <c r="AH32" s="11">
        <f t="shared" si="2"/>
        <v>-0.12135175272247753</v>
      </c>
      <c r="AI32" s="11">
        <f t="shared" si="3"/>
        <v>-6.9529432675131595</v>
      </c>
      <c r="AJ32" s="11">
        <f t="shared" si="4"/>
        <v>23.45302457512647</v>
      </c>
      <c r="AL32" s="11" t="str">
        <f t="shared" si="5"/>
        <v>0.790933168204486-0.402655302850335i</v>
      </c>
      <c r="AM32" s="11" t="str">
        <f t="shared" si="6"/>
        <v>0.999999251494172-0.000860459806141543i</v>
      </c>
      <c r="AN32" s="11" t="str">
        <f t="shared" si="11"/>
        <v>-327.428582568001+167.045173155208i</v>
      </c>
      <c r="AO32" s="11">
        <f t="shared" si="12"/>
        <v>367.57797343821312</v>
      </c>
      <c r="AP32" s="11">
        <f t="shared" si="13"/>
        <v>2.6698399236343784</v>
      </c>
      <c r="AQ32" s="11">
        <f t="shared" si="14"/>
        <v>152.9705595997799</v>
      </c>
      <c r="AR32" s="11">
        <f t="shared" si="15"/>
        <v>51.306989580894736</v>
      </c>
      <c r="AS32" s="11">
        <f t="shared" si="16"/>
        <v>74.760014156021214</v>
      </c>
      <c r="AT32" s="11">
        <f t="shared" si="17"/>
        <v>146.01761633226675</v>
      </c>
    </row>
    <row r="33" spans="25:46" x14ac:dyDescent="0.25">
      <c r="Y33" s="11">
        <v>31</v>
      </c>
      <c r="Z33" s="11">
        <f t="shared" si="7"/>
        <v>8.5113803820237646</v>
      </c>
      <c r="AA33" s="11" t="str">
        <f t="shared" si="8"/>
        <v>53.4785801601483i</v>
      </c>
      <c r="AB33" s="11">
        <f>$T$6/'5. Current Sense Resistor'!$B$11</f>
        <v>100</v>
      </c>
      <c r="AD33" s="11" t="str">
        <f t="shared" si="0"/>
        <v>0.983388093668125-0.127545057192527i</v>
      </c>
      <c r="AE33" s="11" t="str">
        <f t="shared" si="1"/>
        <v>0.999999732798859-0.000957895676906253i</v>
      </c>
      <c r="AF33" s="11" t="str">
        <f t="shared" si="9"/>
        <v>14.7403140677211-1.92617205235608i</v>
      </c>
      <c r="AG33" s="11">
        <f t="shared" si="10"/>
        <v>14.865631422524043</v>
      </c>
      <c r="AH33" s="11">
        <f t="shared" si="2"/>
        <v>-0.12993749554031359</v>
      </c>
      <c r="AI33" s="11">
        <f t="shared" si="3"/>
        <v>-7.4448700949599251</v>
      </c>
      <c r="AJ33" s="11">
        <f t="shared" si="4"/>
        <v>23.443667214638836</v>
      </c>
      <c r="AL33" s="11" t="str">
        <f t="shared" si="5"/>
        <v>0.767280409761339-0.41829360843461i</v>
      </c>
      <c r="AM33" s="11" t="str">
        <f t="shared" si="6"/>
        <v>0.999999140600419-0.000921999190297108i</v>
      </c>
      <c r="AN33" s="11" t="str">
        <f t="shared" si="11"/>
        <v>-317.616310892508+173.533025351382i</v>
      </c>
      <c r="AO33" s="11">
        <f t="shared" si="12"/>
        <v>361.93070031785044</v>
      </c>
      <c r="AP33" s="11">
        <f t="shared" si="13"/>
        <v>2.6415479322071547</v>
      </c>
      <c r="AQ33" s="11">
        <f t="shared" si="14"/>
        <v>151.34954789697966</v>
      </c>
      <c r="AR33" s="11">
        <f t="shared" si="15"/>
        <v>51.172508463111342</v>
      </c>
      <c r="AS33" s="11">
        <f t="shared" si="16"/>
        <v>74.616175677750178</v>
      </c>
      <c r="AT33" s="11">
        <f t="shared" si="17"/>
        <v>143.90467780201973</v>
      </c>
    </row>
    <row r="34" spans="25:46" x14ac:dyDescent="0.25">
      <c r="Y34" s="11">
        <v>32</v>
      </c>
      <c r="Z34" s="11">
        <f t="shared" si="7"/>
        <v>9.1201083935590948</v>
      </c>
      <c r="AA34" s="11" t="str">
        <f t="shared" si="8"/>
        <v>57.3033310582957i</v>
      </c>
      <c r="AB34" s="11">
        <f>$T$6/'5. Current Sense Resistor'!$B$11</f>
        <v>100</v>
      </c>
      <c r="AD34" s="11" t="str">
        <f t="shared" si="0"/>
        <v>0.980973997806109-0.136330083822845i</v>
      </c>
      <c r="AE34" s="11" t="str">
        <f t="shared" si="1"/>
        <v>0.999999693212045-0.00102640369945707i</v>
      </c>
      <c r="AF34" s="11" t="str">
        <f t="shared" si="9"/>
        <v>14.7038571795381-2.0588426761554i</v>
      </c>
      <c r="AG34" s="11">
        <f t="shared" si="10"/>
        <v>14.847297704343806</v>
      </c>
      <c r="AH34" s="11">
        <f t="shared" si="2"/>
        <v>-0.13911613018931415</v>
      </c>
      <c r="AI34" s="11">
        <f t="shared" si="3"/>
        <v>-7.9707671220401988</v>
      </c>
      <c r="AJ34" s="11">
        <f t="shared" si="4"/>
        <v>23.43294833382447</v>
      </c>
      <c r="AL34" s="11" t="str">
        <f t="shared" si="5"/>
        <v>0.741842501112439-0.433045001305962i</v>
      </c>
      <c r="AM34" s="11" t="str">
        <f t="shared" si="6"/>
        <v>0.999999013277386-0.000987939804650627i</v>
      </c>
      <c r="AN34" s="11" t="str">
        <f t="shared" si="11"/>
        <v>-307.063475281075+179.652969771033i</v>
      </c>
      <c r="AO34" s="11">
        <f t="shared" si="12"/>
        <v>355.7571747684691</v>
      </c>
      <c r="AP34" s="11">
        <f t="shared" si="13"/>
        <v>2.612225028969243</v>
      </c>
      <c r="AQ34" s="11">
        <f t="shared" si="14"/>
        <v>149.66946929837684</v>
      </c>
      <c r="AR34" s="11">
        <f t="shared" si="15"/>
        <v>51.02307335044248</v>
      </c>
      <c r="AS34" s="11">
        <f t="shared" si="16"/>
        <v>74.456021684266943</v>
      </c>
      <c r="AT34" s="11">
        <f t="shared" si="17"/>
        <v>141.69870217633664</v>
      </c>
    </row>
    <row r="35" spans="25:46" x14ac:dyDescent="0.25">
      <c r="Y35" s="11">
        <v>33</v>
      </c>
      <c r="Z35" s="11">
        <f t="shared" si="7"/>
        <v>9.7723722095581049</v>
      </c>
      <c r="AA35" s="11" t="str">
        <f t="shared" si="8"/>
        <v>61.4016254833856i</v>
      </c>
      <c r="AB35" s="11">
        <f>$T$6/'5. Current Sense Resistor'!$B$11</f>
        <v>100</v>
      </c>
      <c r="AD35" s="11" t="str">
        <f t="shared" si="0"/>
        <v>0.978216881461584-0.145668018980466i</v>
      </c>
      <c r="AE35" s="11" t="str">
        <f t="shared" si="1"/>
        <v>0.999999647760302-0.00109981136570816i</v>
      </c>
      <c r="AF35" s="11" t="str">
        <f t="shared" si="9"/>
        <v>14.6622201079205-2.19986328849297i</v>
      </c>
      <c r="AG35" s="11">
        <f t="shared" si="10"/>
        <v>14.82633120435286</v>
      </c>
      <c r="AH35" s="11">
        <f t="shared" si="2"/>
        <v>-0.14892531748975363</v>
      </c>
      <c r="AI35" s="11">
        <f t="shared" si="3"/>
        <v>-8.5327921548087069</v>
      </c>
      <c r="AJ35" s="11">
        <f t="shared" si="4"/>
        <v>23.420673951349421</v>
      </c>
      <c r="AL35" s="11" t="str">
        <f t="shared" si="5"/>
        <v>0.714679245281826-0.446664718198443i</v>
      </c>
      <c r="AM35" s="11" t="str">
        <f t="shared" si="6"/>
        <v>0.999998867091025-0.0010585964166473i</v>
      </c>
      <c r="AN35" s="11" t="str">
        <f t="shared" si="11"/>
        <v>-295.794884812689+185.303468954201i</v>
      </c>
      <c r="AO35" s="11">
        <f t="shared" si="12"/>
        <v>349.04439472338254</v>
      </c>
      <c r="AP35" s="11">
        <f t="shared" si="13"/>
        <v>2.581944611886585</v>
      </c>
      <c r="AQ35" s="11">
        <f t="shared" si="14"/>
        <v>147.93452919764468</v>
      </c>
      <c r="AR35" s="11">
        <f t="shared" si="15"/>
        <v>50.857613361946292</v>
      </c>
      <c r="AS35" s="11">
        <f t="shared" si="16"/>
        <v>74.278287313295721</v>
      </c>
      <c r="AT35" s="11">
        <f t="shared" si="17"/>
        <v>139.40173704283598</v>
      </c>
    </row>
    <row r="36" spans="25:46" x14ac:dyDescent="0.25">
      <c r="Y36" s="11">
        <v>34</v>
      </c>
      <c r="Z36" s="11">
        <f t="shared" si="7"/>
        <v>10.471285480508991</v>
      </c>
      <c r="AA36" s="11" t="str">
        <f t="shared" si="8"/>
        <v>65.793027078417i</v>
      </c>
      <c r="AB36" s="11">
        <f>$T$6/'5. Current Sense Resistor'!$B$11</f>
        <v>100</v>
      </c>
      <c r="AD36" s="11" t="str">
        <f t="shared" si="0"/>
        <v>0.975070419209598-0.155581922906709i</v>
      </c>
      <c r="AE36" s="11" t="str">
        <f t="shared" si="1"/>
        <v>0.999999595574721-0.0011784690942028i</v>
      </c>
      <c r="AF36" s="11" t="str">
        <f t="shared" si="9"/>
        <v>14.6147032614092-2.3495821479415i</v>
      </c>
      <c r="AG36" s="11">
        <f t="shared" si="10"/>
        <v>14.802367637947995</v>
      </c>
      <c r="AH36" s="11">
        <f t="shared" si="2"/>
        <v>-0.1594043714111216</v>
      </c>
      <c r="AI36" s="11">
        <f t="shared" si="3"/>
        <v>-9.1331977177931059</v>
      </c>
      <c r="AJ36" s="11">
        <f t="shared" si="4"/>
        <v>23.406623726625007</v>
      </c>
      <c r="AL36" s="11" t="str">
        <f t="shared" si="5"/>
        <v>0.68589375359234-0.45890718564816i</v>
      </c>
      <c r="AM36" s="11" t="str">
        <f t="shared" si="6"/>
        <v>0.999998699246678-0.00113430630441926i</v>
      </c>
      <c r="AN36" s="11" t="str">
        <f t="shared" si="11"/>
        <v>-283.853314873248+190.382649461384i</v>
      </c>
      <c r="AO36" s="11">
        <f t="shared" si="12"/>
        <v>341.78685987098373</v>
      </c>
      <c r="AP36" s="11">
        <f t="shared" si="13"/>
        <v>2.550797516406913</v>
      </c>
      <c r="AQ36" s="11">
        <f t="shared" si="14"/>
        <v>146.14993208256848</v>
      </c>
      <c r="AR36" s="11">
        <f t="shared" si="15"/>
        <v>50.675107241701397</v>
      </c>
      <c r="AS36" s="11">
        <f t="shared" si="16"/>
        <v>74.081730968326411</v>
      </c>
      <c r="AT36" s="11">
        <f t="shared" si="17"/>
        <v>137.01673436477537</v>
      </c>
    </row>
    <row r="37" spans="25:46" x14ac:dyDescent="0.25">
      <c r="Y37" s="11">
        <v>35</v>
      </c>
      <c r="Z37" s="11">
        <f t="shared" si="7"/>
        <v>11.220184543019631</v>
      </c>
      <c r="AA37" s="11" t="str">
        <f t="shared" si="8"/>
        <v>70.4984986645444i</v>
      </c>
      <c r="AB37" s="11">
        <f>$T$6/'5. Current Sense Resistor'!$B$11</f>
        <v>100</v>
      </c>
      <c r="AD37" s="11" t="str">
        <f t="shared" si="0"/>
        <v>0.971482771539278-0.166093055337187i</v>
      </c>
      <c r="AE37" s="11" t="str">
        <f t="shared" si="1"/>
        <v>0.999999535657658-0.00126275236504371i</v>
      </c>
      <c r="AF37" s="11" t="str">
        <f t="shared" si="9"/>
        <v>14.5605237766175-2.5083203231646i</v>
      </c>
      <c r="AG37" s="11">
        <f t="shared" si="10"/>
        <v>14.774996564908031</v>
      </c>
      <c r="AH37" s="11">
        <f t="shared" si="2"/>
        <v>-0.17059415820129958</v>
      </c>
      <c r="AI37" s="11">
        <f t="shared" si="3"/>
        <v>-9.7743252745215461</v>
      </c>
      <c r="AJ37" s="11">
        <f t="shared" si="4"/>
        <v>23.390547771652443</v>
      </c>
      <c r="AL37" s="11" t="str">
        <f t="shared" si="5"/>
        <v>0.655634369192807-0.469535123855869i</v>
      </c>
      <c r="AM37" s="11" t="str">
        <f t="shared" si="6"/>
        <v>0.999998506535654-0.00121543086644372i</v>
      </c>
      <c r="AN37" s="11" t="str">
        <f t="shared" si="11"/>
        <v>-271.300305124351+194.792078590954i</v>
      </c>
      <c r="AO37" s="11">
        <f t="shared" si="12"/>
        <v>333.98773846108537</v>
      </c>
      <c r="AP37" s="11">
        <f t="shared" si="13"/>
        <v>2.518891772854408</v>
      </c>
      <c r="AQ37" s="11">
        <f t="shared" si="14"/>
        <v>144.32186763478322</v>
      </c>
      <c r="AR37" s="11">
        <f t="shared" si="15"/>
        <v>50.47461046099545</v>
      </c>
      <c r="AS37" s="11">
        <f t="shared" si="16"/>
        <v>73.8651582326479</v>
      </c>
      <c r="AT37" s="11">
        <f t="shared" si="17"/>
        <v>134.54754236026167</v>
      </c>
    </row>
    <row r="38" spans="25:46" x14ac:dyDescent="0.25">
      <c r="Y38" s="11">
        <v>36</v>
      </c>
      <c r="Z38" s="11">
        <f t="shared" si="7"/>
        <v>12.022644346174127</v>
      </c>
      <c r="AA38" s="11" t="str">
        <f t="shared" si="8"/>
        <v>75.540502309327i</v>
      </c>
      <c r="AB38" s="11">
        <f>$T$6/'5. Current Sense Resistor'!$B$11</f>
        <v>100</v>
      </c>
      <c r="AD38" s="11" t="str">
        <f t="shared" si="0"/>
        <v>0.967396157776661-0.177220085635721i</v>
      </c>
      <c r="AE38" s="11" t="str">
        <f t="shared" si="1"/>
        <v>0.999999466863667-0.00135306351224824i</v>
      </c>
      <c r="AF38" s="11" t="str">
        <f t="shared" si="9"/>
        <v>14.4988090686498-2.67635976467013i</v>
      </c>
      <c r="AG38" s="11">
        <f t="shared" si="10"/>
        <v>14.7437568482089</v>
      </c>
      <c r="AH38" s="11">
        <f t="shared" si="2"/>
        <v>-0.18253694576406576</v>
      </c>
      <c r="AI38" s="11">
        <f t="shared" si="3"/>
        <v>-10.458596597489379</v>
      </c>
      <c r="AJ38" s="11">
        <f t="shared" si="4"/>
        <v>23.372163199033288</v>
      </c>
      <c r="AL38" s="11" t="str">
        <f t="shared" si="5"/>
        <v>0.624094317057484-0.478329511582541i</v>
      </c>
      <c r="AM38" s="11" t="str">
        <f t="shared" si="6"/>
        <v>0.999998285273886-0.00130235734625566i</v>
      </c>
      <c r="AN38" s="11" t="str">
        <f t="shared" si="11"/>
        <v>-258.216014306331+198.440898293984i</v>
      </c>
      <c r="AO38" s="11">
        <f t="shared" si="12"/>
        <v>325.65979205294997</v>
      </c>
      <c r="AP38" s="11">
        <f t="shared" si="13"/>
        <v>2.4863516924549875</v>
      </c>
      <c r="AQ38" s="11">
        <f t="shared" si="14"/>
        <v>142.45745836288003</v>
      </c>
      <c r="AR38" s="11">
        <f t="shared" si="15"/>
        <v>50.25528282450739</v>
      </c>
      <c r="AS38" s="11">
        <f t="shared" si="16"/>
        <v>73.627446023540671</v>
      </c>
      <c r="AT38" s="11">
        <f t="shared" si="17"/>
        <v>131.99886176539064</v>
      </c>
    </row>
    <row r="39" spans="25:46" x14ac:dyDescent="0.25">
      <c r="Y39" s="11">
        <v>37</v>
      </c>
      <c r="Z39" s="11">
        <f t="shared" si="7"/>
        <v>12.882495516931341</v>
      </c>
      <c r="AA39" s="11" t="str">
        <f t="shared" si="8"/>
        <v>80.9431065517899i</v>
      </c>
      <c r="AB39" s="11">
        <f>$T$6/'5. Current Sense Resistor'!$B$11</f>
        <v>100</v>
      </c>
      <c r="AD39" s="11" t="str">
        <f t="shared" si="0"/>
        <v>0.962746471001362-0.188978143698082i</v>
      </c>
      <c r="AE39" s="11" t="str">
        <f t="shared" si="1"/>
        <v>0.9999993878776-0.0014498336442844i</v>
      </c>
      <c r="AF39" s="11" t="str">
        <f t="shared" si="9"/>
        <v>14.4285910156989-2.85392897192532i</v>
      </c>
      <c r="AG39" s="11">
        <f t="shared" si="10"/>
        <v>14.708132079740842</v>
      </c>
      <c r="AH39" s="11">
        <f t="shared" si="2"/>
        <v>-0.19527619289078116</v>
      </c>
      <c r="AI39" s="11">
        <f t="shared" si="3"/>
        <v>-11.188501692024332</v>
      </c>
      <c r="AJ39" s="11">
        <f t="shared" si="4"/>
        <v>23.351150423997773</v>
      </c>
      <c r="AL39" s="11" t="str">
        <f t="shared" si="5"/>
        <v>0.591508743343743-0.485099749485235i</v>
      </c>
      <c r="AM39" s="11" t="str">
        <f t="shared" si="6"/>
        <v>0.999998031231507-0.00139550068042868i</v>
      </c>
      <c r="AN39" s="11" t="str">
        <f t="shared" si="11"/>
        <v>-244.697992024883+201.25004141212i</v>
      </c>
      <c r="AO39" s="11">
        <f t="shared" si="12"/>
        <v>316.825956116903</v>
      </c>
      <c r="AP39" s="11">
        <f t="shared" si="13"/>
        <v>2.4533162439132106</v>
      </c>
      <c r="AQ39" s="11">
        <f t="shared" si="14"/>
        <v>140.5646665871146</v>
      </c>
      <c r="AR39" s="11">
        <f t="shared" si="15"/>
        <v>50.016415083132799</v>
      </c>
      <c r="AS39" s="11">
        <f t="shared" si="16"/>
        <v>73.367565507130564</v>
      </c>
      <c r="AT39" s="11">
        <f t="shared" si="17"/>
        <v>129.37616489509026</v>
      </c>
    </row>
    <row r="40" spans="25:46" x14ac:dyDescent="0.25">
      <c r="Y40" s="11">
        <v>38</v>
      </c>
      <c r="Z40" s="11">
        <f t="shared" si="7"/>
        <v>13.803842646028851</v>
      </c>
      <c r="AA40" s="11" t="str">
        <f t="shared" si="8"/>
        <v>86.7321012961475i</v>
      </c>
      <c r="AB40" s="11">
        <f>$T$6/'5. Current Sense Resistor'!$B$11</f>
        <v>100</v>
      </c>
      <c r="AD40" s="11" t="str">
        <f t="shared" si="0"/>
        <v>0.957462966049533-0.201377693868339i</v>
      </c>
      <c r="AE40" s="11" t="str">
        <f t="shared" si="1"/>
        <v>0.999999297189465-0.0015535247019539i</v>
      </c>
      <c r="AF40" s="11" t="str">
        <f t="shared" si="9"/>
        <v>14.3488012473674-3.04118598767015i</v>
      </c>
      <c r="AG40" s="11">
        <f t="shared" si="10"/>
        <v>14.667546129058312</v>
      </c>
      <c r="AH40" s="11">
        <f t="shared" si="2"/>
        <v>-0.2088562666801688</v>
      </c>
      <c r="AI40" s="11">
        <f t="shared" si="3"/>
        <v>-11.966582605632475</v>
      </c>
      <c r="AJ40" s="11">
        <f t="shared" si="4"/>
        <v>23.327149254711617</v>
      </c>
      <c r="AL40" s="11" t="str">
        <f t="shared" si="5"/>
        <v>0.558149031418714-0.489693225959813i</v>
      </c>
      <c r="AM40" s="11" t="str">
        <f t="shared" si="6"/>
        <v>0.999997739551992-0.00149530547862065i</v>
      </c>
      <c r="AN40" s="11" t="str">
        <f t="shared" si="11"/>
        <v>-230.858820772469+203.156200048076i</v>
      </c>
      <c r="AO40" s="11">
        <f t="shared" si="12"/>
        <v>307.51949002693931</v>
      </c>
      <c r="AP40" s="11">
        <f t="shared" si="13"/>
        <v>2.4199367340494091</v>
      </c>
      <c r="AQ40" s="11">
        <f t="shared" si="14"/>
        <v>138.65216154970346</v>
      </c>
      <c r="AR40" s="11">
        <f t="shared" si="15"/>
        <v>49.757452915589141</v>
      </c>
      <c r="AS40" s="11">
        <f t="shared" si="16"/>
        <v>73.084602170300755</v>
      </c>
      <c r="AT40" s="11">
        <f t="shared" si="17"/>
        <v>126.68557894407098</v>
      </c>
    </row>
    <row r="41" spans="25:46" x14ac:dyDescent="0.25">
      <c r="Y41" s="11">
        <v>39</v>
      </c>
      <c r="Z41" s="11">
        <f t="shared" si="7"/>
        <v>14.791083881682074</v>
      </c>
      <c r="AA41" s="11" t="str">
        <f t="shared" si="8"/>
        <v>92.9351209226456i</v>
      </c>
      <c r="AB41" s="11">
        <f>$T$6/'5. Current Sense Resistor'!$B$11</f>
        <v>100</v>
      </c>
      <c r="AD41" s="11" t="str">
        <f t="shared" si="0"/>
        <v>0.951468060471996-0.214423216788308i</v>
      </c>
      <c r="AE41" s="11" t="str">
        <f t="shared" si="1"/>
        <v>0.999999193065559-0.00166463166344289i</v>
      </c>
      <c r="AF41" s="11" t="str">
        <f t="shared" si="9"/>
        <v>14.2582681388018-3.23819849170351i</v>
      </c>
      <c r="AG41" s="11">
        <f t="shared" si="10"/>
        <v>14.621359026767704</v>
      </c>
      <c r="AH41" s="11">
        <f t="shared" si="2"/>
        <v>-0.22332207532951714</v>
      </c>
      <c r="AI41" s="11">
        <f t="shared" si="3"/>
        <v>-12.795412388483976</v>
      </c>
      <c r="AJ41" s="11">
        <f t="shared" si="4"/>
        <v>23.299754826438644</v>
      </c>
      <c r="AL41" s="11" t="str">
        <f t="shared" si="5"/>
        <v>0.524314560939755-0.492003443860526i</v>
      </c>
      <c r="AM41" s="11" t="str">
        <f t="shared" si="6"/>
        <v>0.999997404659312-0.00160224814510642i</v>
      </c>
      <c r="AN41" s="11" t="str">
        <f t="shared" si="11"/>
        <v>-216.822697208726+204.115196921318i</v>
      </c>
      <c r="AO41" s="11">
        <f t="shared" si="12"/>
        <v>297.78363897147756</v>
      </c>
      <c r="AP41" s="11">
        <f t="shared" si="13"/>
        <v>2.3863738640525813</v>
      </c>
      <c r="AQ41" s="11">
        <f t="shared" si="14"/>
        <v>136.72915075053899</v>
      </c>
      <c r="AR41" s="11">
        <f t="shared" si="15"/>
        <v>49.47801665545547</v>
      </c>
      <c r="AS41" s="11">
        <f t="shared" si="16"/>
        <v>72.777771481894121</v>
      </c>
      <c r="AT41" s="11">
        <f t="shared" si="17"/>
        <v>123.93373836205501</v>
      </c>
    </row>
    <row r="42" spans="25:46" x14ac:dyDescent="0.25">
      <c r="Y42" s="11">
        <v>40</v>
      </c>
      <c r="Z42" s="11">
        <f t="shared" si="7"/>
        <v>15.848931924611136</v>
      </c>
      <c r="AA42" s="11" t="str">
        <f t="shared" si="8"/>
        <v>99.5817762032062i</v>
      </c>
      <c r="AB42" s="11">
        <f>$T$6/'5. Current Sense Resistor'!$B$11</f>
        <v>100</v>
      </c>
      <c r="AD42" s="11" t="str">
        <f t="shared" si="0"/>
        <v>0.944677298239421-0.228111689219638i</v>
      </c>
      <c r="AE42" s="11" t="str">
        <f t="shared" si="1"/>
        <v>0.999999073515324-0.00178368490706355i</v>
      </c>
      <c r="AF42" s="11" t="str">
        <f t="shared" si="9"/>
        <v>14.1557162625788-3.44492084372281i</v>
      </c>
      <c r="AG42" s="11">
        <f t="shared" si="10"/>
        <v>14.568863460344247</v>
      </c>
      <c r="AH42" s="11">
        <f t="shared" si="2"/>
        <v>-0.23871860259623409</v>
      </c>
      <c r="AI42" s="11">
        <f t="shared" si="3"/>
        <v>-13.677568420024949</v>
      </c>
      <c r="AJ42" s="11">
        <f t="shared" si="4"/>
        <v>23.268513462093786</v>
      </c>
      <c r="AL42" s="11" t="str">
        <f t="shared" si="5"/>
        <v>0.490322371032675-0.491975931569171i</v>
      </c>
      <c r="AM42" s="11" t="str">
        <f t="shared" si="6"/>
        <v>0.999997020151348-0.00171683915188768i</v>
      </c>
      <c r="AN42" s="11" t="str">
        <f t="shared" si="11"/>
        <v>-202.721143962472+204.104437569139i</v>
      </c>
      <c r="AO42" s="11">
        <f t="shared" si="12"/>
        <v>287.67079039219095</v>
      </c>
      <c r="AP42" s="11">
        <f t="shared" si="13"/>
        <v>2.3527942903559991</v>
      </c>
      <c r="AQ42" s="11">
        <f t="shared" si="14"/>
        <v>134.80518289987631</v>
      </c>
      <c r="AR42" s="11">
        <f t="shared" si="15"/>
        <v>49.17791533196683</v>
      </c>
      <c r="AS42" s="11">
        <f t="shared" si="16"/>
        <v>72.446428794060608</v>
      </c>
      <c r="AT42" s="11">
        <f t="shared" si="17"/>
        <v>121.12761447985136</v>
      </c>
    </row>
    <row r="43" spans="25:46" x14ac:dyDescent="0.25">
      <c r="Y43" s="11">
        <v>41</v>
      </c>
      <c r="Z43" s="11">
        <f t="shared" si="7"/>
        <v>16.982436524617441</v>
      </c>
      <c r="AA43" s="11" t="str">
        <f t="shared" si="8"/>
        <v>106.703795651586i</v>
      </c>
      <c r="AB43" s="11">
        <f>$T$6/'5. Current Sense Resistor'!$B$11</f>
        <v>100</v>
      </c>
      <c r="AD43" s="11" t="str">
        <f t="shared" si="0"/>
        <v>0.936999536686756-0.242430860258825i</v>
      </c>
      <c r="AE43" s="11" t="str">
        <f t="shared" si="1"/>
        <v>0.999998936253299-0.00191125274296124i</v>
      </c>
      <c r="AF43" s="11" t="str">
        <f t="shared" si="9"/>
        <v>14.0397692118774-3.66116805136114i</v>
      </c>
      <c r="AG43" s="11">
        <f t="shared" si="10"/>
        <v>14.509282236661058</v>
      </c>
      <c r="AH43" s="11">
        <f t="shared" si="2"/>
        <v>-0.25509032980735169</v>
      </c>
      <c r="AI43" s="11">
        <f t="shared" si="3"/>
        <v>-14.615599292561473</v>
      </c>
      <c r="AJ43" s="11">
        <f t="shared" si="4"/>
        <v>23.232918574919317</v>
      </c>
      <c r="AL43" s="11" t="str">
        <f t="shared" si="5"/>
        <v>0.45649544989058-0.489611341387699i</v>
      </c>
      <c r="AM43" s="11" t="str">
        <f t="shared" si="6"/>
        <v>0.999996578677506-0.00183962547418546i</v>
      </c>
      <c r="AN43" s="11" t="str">
        <f t="shared" si="11"/>
        <v>-188.688151608617+203.1241957188i</v>
      </c>
      <c r="AO43" s="11">
        <f t="shared" si="12"/>
        <v>277.24115395064604</v>
      </c>
      <c r="AP43" s="11">
        <f t="shared" si="13"/>
        <v>2.3193668679666648</v>
      </c>
      <c r="AQ43" s="11">
        <f t="shared" si="14"/>
        <v>132.88993267696634</v>
      </c>
      <c r="AR43" s="11">
        <f t="shared" si="15"/>
        <v>48.857153956534951</v>
      </c>
      <c r="AS43" s="11">
        <f t="shared" si="16"/>
        <v>72.090072531454268</v>
      </c>
      <c r="AT43" s="11">
        <f t="shared" si="17"/>
        <v>118.27433338440487</v>
      </c>
    </row>
    <row r="44" spans="25:46" x14ac:dyDescent="0.25">
      <c r="Y44" s="11">
        <v>42</v>
      </c>
      <c r="Z44" s="11">
        <f t="shared" si="7"/>
        <v>18.197008586099834</v>
      </c>
      <c r="AA44" s="11" t="str">
        <f t="shared" si="8"/>
        <v>114.335176982803i</v>
      </c>
      <c r="AB44" s="11">
        <f>$T$6/'5. Current Sense Resistor'!$B$11</f>
        <v>100</v>
      </c>
      <c r="AD44" s="11" t="str">
        <f t="shared" si="0"/>
        <v>0.928337427971204-0.25735733491521i</v>
      </c>
      <c r="AE44" s="11" t="str">
        <f t="shared" si="1"/>
        <v>0.999998778655419-0.00204794412586816i</v>
      </c>
      <c r="AF44" s="11" t="str">
        <f t="shared" si="9"/>
        <v>13.9089568712994-3.88658682908839i</v>
      </c>
      <c r="AG44" s="11">
        <f t="shared" si="10"/>
        <v>14.441767150446312</v>
      </c>
      <c r="AH44" s="11">
        <f t="shared" si="2"/>
        <v>-0.27248053159377783</v>
      </c>
      <c r="AI44" s="11">
        <f t="shared" si="3"/>
        <v>-15.611984459804557</v>
      </c>
      <c r="AJ44" s="11">
        <f t="shared" si="4"/>
        <v>23.192406768731544</v>
      </c>
      <c r="AL44" s="11" t="str">
        <f t="shared" si="5"/>
        <v>0.423150552914256-0.484965412137051i</v>
      </c>
      <c r="AM44" s="11" t="str">
        <f t="shared" si="6"/>
        <v>0.999996071798201-0.00197119319988547i</v>
      </c>
      <c r="AN44" s="11" t="str">
        <f t="shared" si="11"/>
        <v>-174.855125061934+201.197597786673i</v>
      </c>
      <c r="AO44" s="11">
        <f t="shared" si="12"/>
        <v>266.56104013068455</v>
      </c>
      <c r="AP44" s="11">
        <f t="shared" si="13"/>
        <v>2.2862587868124296</v>
      </c>
      <c r="AQ44" s="11">
        <f t="shared" si="14"/>
        <v>130.99297935905207</v>
      </c>
      <c r="AR44" s="11">
        <f t="shared" si="15"/>
        <v>48.515933487251111</v>
      </c>
      <c r="AS44" s="11">
        <f t="shared" si="16"/>
        <v>71.708340255982648</v>
      </c>
      <c r="AT44" s="11">
        <f t="shared" si="17"/>
        <v>115.38099489924751</v>
      </c>
    </row>
    <row r="45" spans="25:46" x14ac:dyDescent="0.25">
      <c r="Y45" s="11">
        <v>43</v>
      </c>
      <c r="Z45" s="11">
        <f t="shared" si="7"/>
        <v>19.498445997580447</v>
      </c>
      <c r="AA45" s="11" t="str">
        <f t="shared" si="8"/>
        <v>122.512349404832i</v>
      </c>
      <c r="AB45" s="11">
        <f>$T$6/'5. Current Sense Resistor'!$B$11</f>
        <v>100</v>
      </c>
      <c r="AD45" s="11" t="str">
        <f t="shared" si="0"/>
        <v>0.91858827604809-0.272854493649018i</v>
      </c>
      <c r="AE45" s="11" t="str">
        <f t="shared" si="1"/>
        <v>0.999998597708857-0.00219441156184688i</v>
      </c>
      <c r="AF45" s="11" t="str">
        <f t="shared" si="9"/>
        <v>13.7617283586362-4.12062417984035i</v>
      </c>
      <c r="AG45" s="11">
        <f t="shared" si="10"/>
        <v>14.365399787279738</v>
      </c>
      <c r="AH45" s="11">
        <f t="shared" si="2"/>
        <v>-0.2909304328670026</v>
      </c>
      <c r="AI45" s="11">
        <f t="shared" si="3"/>
        <v>-16.66908593519338</v>
      </c>
      <c r="AJ45" s="11">
        <f t="shared" si="4"/>
        <v>23.146354337145493</v>
      </c>
      <c r="AL45" s="11" t="str">
        <f t="shared" si="5"/>
        <v>0.390586514687036-0.478145799903077i</v>
      </c>
      <c r="AM45" s="11" t="str">
        <f t="shared" si="6"/>
        <v>0.999995489823533-0.00211217032532356i</v>
      </c>
      <c r="AN45" s="11" t="str">
        <f t="shared" si="11"/>
        <v>-161.346034836368+198.369308139297i</v>
      </c>
      <c r="AO45" s="11">
        <f t="shared" si="12"/>
        <v>255.70085132647068</v>
      </c>
      <c r="AP45" s="11">
        <f t="shared" si="13"/>
        <v>2.2536318230313452</v>
      </c>
      <c r="AQ45" s="11">
        <f t="shared" si="14"/>
        <v>129.12359203606971</v>
      </c>
      <c r="AR45" s="11">
        <f t="shared" si="15"/>
        <v>48.154643479241841</v>
      </c>
      <c r="AS45" s="11">
        <f t="shared" si="16"/>
        <v>71.300997816387337</v>
      </c>
      <c r="AT45" s="11">
        <f t="shared" si="17"/>
        <v>112.45450610087633</v>
      </c>
    </row>
    <row r="46" spans="25:46" x14ac:dyDescent="0.25">
      <c r="Y46" s="11">
        <v>44</v>
      </c>
      <c r="Z46" s="11">
        <f t="shared" si="7"/>
        <v>20.892961308540382</v>
      </c>
      <c r="AA46" s="11" t="str">
        <f t="shared" si="8"/>
        <v>131.274347517293i</v>
      </c>
      <c r="AB46" s="11">
        <f>$T$6/'5. Current Sense Resistor'!$B$11</f>
        <v>100</v>
      </c>
      <c r="AD46" s="11" t="str">
        <f t="shared" si="0"/>
        <v>0.907645357164478-0.288870299928606i</v>
      </c>
      <c r="AE46" s="11" t="str">
        <f t="shared" si="1"/>
        <v>0.999998389954424-0.00235135422289268i</v>
      </c>
      <c r="AF46" s="11" t="str">
        <f t="shared" si="9"/>
        <v>13.596471966531-4.36249428555658i</v>
      </c>
      <c r="AG46" s="11">
        <f t="shared" si="10"/>
        <v>14.279194876749079</v>
      </c>
      <c r="AH46" s="11">
        <f t="shared" si="2"/>
        <v>-0.31047821731812503</v>
      </c>
      <c r="AI46" s="11">
        <f t="shared" si="3"/>
        <v>-17.789091483074149</v>
      </c>
      <c r="AJ46" s="11">
        <f t="shared" si="4"/>
        <v>23.094074414289615</v>
      </c>
      <c r="AL46" s="11" t="str">
        <f t="shared" si="5"/>
        <v>0.35907395392495-0.469306107272121i</v>
      </c>
      <c r="AM46" s="11" t="str">
        <f t="shared" si="6"/>
        <v>0.999994821628053-0.00226322975067275i</v>
      </c>
      <c r="AN46" s="11" t="str">
        <f t="shared" si="11"/>
        <v>-148.273146175541+194.703052157994i</v>
      </c>
      <c r="AO46" s="11">
        <f t="shared" si="12"/>
        <v>244.73292462689176</v>
      </c>
      <c r="AP46" s="11">
        <f t="shared" si="13"/>
        <v>2.2216389152354399</v>
      </c>
      <c r="AQ46" s="11">
        <f t="shared" si="14"/>
        <v>127.29053344501315</v>
      </c>
      <c r="AR46" s="11">
        <f t="shared" si="15"/>
        <v>47.773848003455306</v>
      </c>
      <c r="AS46" s="11">
        <f t="shared" si="16"/>
        <v>70.867922417744921</v>
      </c>
      <c r="AT46" s="11">
        <f t="shared" si="17"/>
        <v>109.50144196193901</v>
      </c>
    </row>
    <row r="47" spans="25:46" x14ac:dyDescent="0.25">
      <c r="Y47" s="11">
        <v>45</v>
      </c>
      <c r="Z47" s="11">
        <f t="shared" si="7"/>
        <v>22.387211385683386</v>
      </c>
      <c r="AA47" s="11" t="str">
        <f t="shared" si="8"/>
        <v>140.662997647249i</v>
      </c>
      <c r="AB47" s="11">
        <f>$T$6/'5. Current Sense Resistor'!$B$11</f>
        <v>100</v>
      </c>
      <c r="AD47" s="11" t="str">
        <f t="shared" si="0"/>
        <v>0.895399793820011-0.305335077536404i</v>
      </c>
      <c r="AE47" s="11" t="str">
        <f t="shared" si="1"/>
        <v>0.999998151420446-0.00251952128425341i</v>
      </c>
      <c r="AF47" s="11" t="str">
        <f t="shared" si="9"/>
        <v>13.4115434624205-4.61114494087951i</v>
      </c>
      <c r="AG47" s="11">
        <f t="shared" si="10"/>
        <v>14.18210688544522</v>
      </c>
      <c r="AH47" s="11">
        <f t="shared" si="2"/>
        <v>-0.33115788232372784</v>
      </c>
      <c r="AI47" s="11">
        <f t="shared" si="3"/>
        <v>-18.973949009639572</v>
      </c>
      <c r="AJ47" s="11">
        <f t="shared" si="4"/>
        <v>23.034815083447178</v>
      </c>
      <c r="AL47" s="11" t="str">
        <f t="shared" si="5"/>
        <v>0.328847088359581-0.458637713495734i</v>
      </c>
      <c r="AM47" s="11" t="str">
        <f t="shared" si="6"/>
        <v>0.999994054438108-0.00242509248912616i</v>
      </c>
      <c r="AN47" s="11" t="str">
        <f t="shared" si="11"/>
        <v>-135.73362348192+190.278227027194i</v>
      </c>
      <c r="AO47" s="11">
        <f t="shared" si="12"/>
        <v>233.72937390097977</v>
      </c>
      <c r="AP47" s="11">
        <f t="shared" si="13"/>
        <v>2.1904212426049492</v>
      </c>
      <c r="AQ47" s="11">
        <f t="shared" si="14"/>
        <v>125.50189255706498</v>
      </c>
      <c r="AR47" s="11">
        <f t="shared" si="15"/>
        <v>47.374265914208408</v>
      </c>
      <c r="AS47" s="11">
        <f t="shared" si="16"/>
        <v>70.409080997655593</v>
      </c>
      <c r="AT47" s="11">
        <f t="shared" si="17"/>
        <v>106.52794354742541</v>
      </c>
    </row>
    <row r="48" spans="25:46" x14ac:dyDescent="0.25">
      <c r="Y48" s="11">
        <v>46</v>
      </c>
      <c r="Z48" s="11">
        <f t="shared" si="7"/>
        <v>23.988329190194897</v>
      </c>
      <c r="AA48" s="11" t="str">
        <f t="shared" si="8"/>
        <v>150.72311751162i</v>
      </c>
      <c r="AB48" s="11">
        <f>$T$6/'5. Current Sense Resistor'!$B$11</f>
        <v>100</v>
      </c>
      <c r="AD48" s="11" t="str">
        <f t="shared" si="0"/>
        <v>0.881743066100937-0.32215937489178i</v>
      </c>
      <c r="AE48" s="11" t="str">
        <f t="shared" si="1"/>
        <v>0.999997877546828-0.00269971550038737i</v>
      </c>
      <c r="AF48" s="11" t="str">
        <f t="shared" si="9"/>
        <v>13.2053040138782-4.86522530096171i</v>
      </c>
      <c r="AG48" s="11">
        <f t="shared" si="10"/>
        <v>14.073040585746412</v>
      </c>
      <c r="AH48" s="11">
        <f t="shared" si="2"/>
        <v>-0.35299794201387774</v>
      </c>
      <c r="AI48" s="11">
        <f t="shared" si="3"/>
        <v>-20.225292254198958</v>
      </c>
      <c r="AJ48" s="11">
        <f t="shared" si="4"/>
        <v>22.967758802921139</v>
      </c>
      <c r="AL48" s="11" t="str">
        <f t="shared" si="5"/>
        <v>0.300098113871464-0.446360184978662i</v>
      </c>
      <c r="AM48" s="11" t="str">
        <f t="shared" si="6"/>
        <v>0.99999317358766-0.00259853110506717i</v>
      </c>
      <c r="AN48" s="11" t="str">
        <f t="shared" si="11"/>
        <v>-123.807198516928+185.185923575731i</v>
      </c>
      <c r="AO48" s="11">
        <f t="shared" si="12"/>
        <v>222.76006979529905</v>
      </c>
      <c r="AP48" s="11">
        <f t="shared" si="13"/>
        <v>2.1601059325565748</v>
      </c>
      <c r="AQ48" s="11">
        <f t="shared" si="14"/>
        <v>123.76495323666258</v>
      </c>
      <c r="AR48" s="11">
        <f t="shared" si="15"/>
        <v>46.956746905822236</v>
      </c>
      <c r="AS48" s="11">
        <f t="shared" si="16"/>
        <v>69.924505708743368</v>
      </c>
      <c r="AT48" s="11">
        <f t="shared" si="17"/>
        <v>103.53966098246362</v>
      </c>
    </row>
    <row r="49" spans="25:46" x14ac:dyDescent="0.25">
      <c r="Y49" s="11">
        <v>47</v>
      </c>
      <c r="Z49" s="11">
        <f t="shared" si="7"/>
        <v>25.703957827688622</v>
      </c>
      <c r="AA49" s="11" t="str">
        <f t="shared" si="8"/>
        <v>161.502730159297i</v>
      </c>
      <c r="AB49" s="11">
        <f>$T$6/'5. Current Sense Resistor'!$B$11</f>
        <v>100</v>
      </c>
      <c r="AD49" s="11" t="str">
        <f t="shared" si="0"/>
        <v>0.866570226805434-0.339232073600613i</v>
      </c>
      <c r="AE49" s="11" t="str">
        <f t="shared" si="1"/>
        <v>0.999997563097886-0.00289279703661564i</v>
      </c>
      <c r="AF49" s="11" t="str">
        <f t="shared" si="9"/>
        <v>12.976168742384-5.12305731751272i</v>
      </c>
      <c r="AG49" s="11">
        <f t="shared" si="10"/>
        <v>13.950866335441114</v>
      </c>
      <c r="AH49" s="11">
        <f t="shared" si="2"/>
        <v>-0.37601998975864132</v>
      </c>
      <c r="AI49" s="11">
        <f t="shared" si="3"/>
        <v>-21.544358425722585</v>
      </c>
      <c r="AJ49" s="11">
        <f t="shared" si="4"/>
        <v>22.892023554370237</v>
      </c>
      <c r="AL49" s="11" t="str">
        <f t="shared" si="5"/>
        <v>0.272974307358148-0.432711107859122i</v>
      </c>
      <c r="AM49" s="11" t="str">
        <f t="shared" si="6"/>
        <v>0.999992162237964-0.00278437339748096i</v>
      </c>
      <c r="AN49" s="11" t="str">
        <f t="shared" si="11"/>
        <v>-112.554968533441+179.524708376381i</v>
      </c>
      <c r="AO49" s="11">
        <f t="shared" si="12"/>
        <v>211.89087252448732</v>
      </c>
      <c r="AP49" s="11">
        <f t="shared" si="13"/>
        <v>2.1308044681772333</v>
      </c>
      <c r="AQ49" s="11">
        <f t="shared" si="14"/>
        <v>122.0861029941734</v>
      </c>
      <c r="AR49" s="11">
        <f t="shared" si="15"/>
        <v>46.522244986256929</v>
      </c>
      <c r="AS49" s="11">
        <f t="shared" si="16"/>
        <v>69.414268540627162</v>
      </c>
      <c r="AT49" s="11">
        <f t="shared" si="17"/>
        <v>100.54174456845081</v>
      </c>
    </row>
    <row r="50" spans="25:46" x14ac:dyDescent="0.25">
      <c r="Y50" s="11">
        <v>48</v>
      </c>
      <c r="Z50" s="11">
        <f t="shared" si="7"/>
        <v>27.542287033381651</v>
      </c>
      <c r="AA50" s="11" t="str">
        <f t="shared" si="8"/>
        <v>173.053293214266i</v>
      </c>
      <c r="AB50" s="11">
        <f>$T$6/'5. Current Sense Resistor'!$B$11</f>
        <v>100</v>
      </c>
      <c r="AD50" s="11" t="str">
        <f t="shared" si="0"/>
        <v>0.849783854233308-0.356418939739226i</v>
      </c>
      <c r="AE50" s="11" t="str">
        <f t="shared" si="1"/>
        <v>0.999997202062252-0.00309968757474382i</v>
      </c>
      <c r="AF50" s="11" t="str">
        <f t="shared" si="9"/>
        <v>12.7226664170593-5.3826138608835i</v>
      </c>
      <c r="AG50" s="11">
        <f t="shared" si="10"/>
        <v>13.814440731898763</v>
      </c>
      <c r="AH50" s="11">
        <f t="shared" si="2"/>
        <v>-0.40023714367133473</v>
      </c>
      <c r="AI50" s="11">
        <f t="shared" si="3"/>
        <v>-22.931899136738643</v>
      </c>
      <c r="AJ50" s="11">
        <f t="shared" si="4"/>
        <v>22.806666149919572</v>
      </c>
      <c r="AL50" s="11" t="str">
        <f t="shared" si="5"/>
        <v>0.247577734636491-0.417936136371535i</v>
      </c>
      <c r="AM50" s="11" t="str">
        <f t="shared" si="6"/>
        <v>0.999991001055698-0.00298350634599692i</v>
      </c>
      <c r="AN50" s="11" t="str">
        <f t="shared" si="11"/>
        <v>-102.019275098159+173.396495363549i</v>
      </c>
      <c r="AO50" s="11">
        <f t="shared" si="12"/>
        <v>201.18219875504673</v>
      </c>
      <c r="AP50" s="11">
        <f t="shared" si="13"/>
        <v>2.1026118076477482</v>
      </c>
      <c r="AQ50" s="11">
        <f t="shared" si="14"/>
        <v>120.47078253258884</v>
      </c>
      <c r="AR50" s="11">
        <f t="shared" si="15"/>
        <v>46.07179100635819</v>
      </c>
      <c r="AS50" s="11">
        <f t="shared" si="16"/>
        <v>68.878457156277761</v>
      </c>
      <c r="AT50" s="11">
        <f t="shared" si="17"/>
        <v>97.538883395850206</v>
      </c>
    </row>
    <row r="51" spans="25:46" x14ac:dyDescent="0.25">
      <c r="Y51" s="11">
        <v>49</v>
      </c>
      <c r="Z51" s="11">
        <f t="shared" si="7"/>
        <v>29.512092266663849</v>
      </c>
      <c r="AA51" s="11" t="str">
        <f t="shared" si="8"/>
        <v>185.429944514031i</v>
      </c>
      <c r="AB51" s="11">
        <f>$T$6/'5. Current Sense Resistor'!$B$11</f>
        <v>100</v>
      </c>
      <c r="AD51" s="11" t="str">
        <f t="shared" si="0"/>
        <v>0.831298725768113-0.37356185400255i</v>
      </c>
      <c r="AE51" s="11" t="str">
        <f t="shared" si="1"/>
        <v>0.999996787537958-0.00332137471223117i</v>
      </c>
      <c r="AF51" s="11" t="str">
        <f t="shared" si="9"/>
        <v>12.4435100335731-5.64150709414546i</v>
      </c>
      <c r="AG51" s="11">
        <f t="shared" si="10"/>
        <v>13.662633137463947</v>
      </c>
      <c r="AH51" s="11">
        <f t="shared" si="2"/>
        <v>-0.42565241384066466</v>
      </c>
      <c r="AI51" s="11">
        <f t="shared" si="3"/>
        <v>-24.388086852625996</v>
      </c>
      <c r="AJ51" s="11">
        <f t="shared" si="4"/>
        <v>22.710688140449534</v>
      </c>
      <c r="AL51" s="11" t="str">
        <f t="shared" si="5"/>
        <v>0.223967221877915-0.402279915674291i</v>
      </c>
      <c r="AM51" s="11" t="str">
        <f t="shared" si="6"/>
        <v>0.999989667843436-0.00319688033815961i</v>
      </c>
      <c r="AN51" s="11" t="str">
        <f t="shared" si="11"/>
        <v>-92.2245219330865+166.902780221587i</v>
      </c>
      <c r="AO51" s="11">
        <f t="shared" si="12"/>
        <v>190.68796629961139</v>
      </c>
      <c r="AP51" s="11">
        <f t="shared" si="13"/>
        <v>2.0756061765149183</v>
      </c>
      <c r="AQ51" s="11">
        <f t="shared" si="14"/>
        <v>118.92347384559059</v>
      </c>
      <c r="AR51" s="11">
        <f t="shared" si="15"/>
        <v>45.606465739831961</v>
      </c>
      <c r="AS51" s="11">
        <f t="shared" si="16"/>
        <v>68.317153880281495</v>
      </c>
      <c r="AT51" s="11">
        <f t="shared" si="17"/>
        <v>94.53538699296459</v>
      </c>
    </row>
    <row r="52" spans="25:46" x14ac:dyDescent="0.25">
      <c r="Y52" s="11">
        <v>50</v>
      </c>
      <c r="Z52" s="11">
        <f t="shared" si="7"/>
        <v>31.622776601683789</v>
      </c>
      <c r="AA52" s="11" t="str">
        <f t="shared" si="8"/>
        <v>198.691765315922i</v>
      </c>
      <c r="AB52" s="11">
        <f>$T$6/'5. Current Sense Resistor'!$B$11</f>
        <v>100</v>
      </c>
      <c r="AD52" s="11" t="str">
        <f t="shared" si="0"/>
        <v>0.811047124717523-0.39047898358208i</v>
      </c>
      <c r="AE52" s="11" t="str">
        <f t="shared" si="1"/>
        <v>0.999996311600488-0.0035589166758821i</v>
      </c>
      <c r="AF52" s="11" t="str">
        <f t="shared" si="9"/>
        <v>12.1376769563075-5.89699106887426i</v>
      </c>
      <c r="AG52" s="11">
        <f t="shared" si="10"/>
        <v>13.494358286412172</v>
      </c>
      <c r="AH52" s="11">
        <f t="shared" si="2"/>
        <v>-0.45225704739794215</v>
      </c>
      <c r="AI52" s="11">
        <f t="shared" si="3"/>
        <v>-25.912420070950116</v>
      </c>
      <c r="AJ52" s="11">
        <f t="shared" si="4"/>
        <v>22.603044737025876</v>
      </c>
      <c r="AL52" s="11" t="str">
        <f t="shared" si="5"/>
        <v>0.202162103879412-0.385978350517182i</v>
      </c>
      <c r="AM52" s="11" t="str">
        <f t="shared" si="6"/>
        <v>0.999988137115381-0.00342551369781352i</v>
      </c>
      <c r="AN52" s="11" t="str">
        <f t="shared" si="11"/>
        <v>-83.1787298713358+160.141433092098i</v>
      </c>
      <c r="AO52" s="11">
        <f t="shared" si="12"/>
        <v>180.45492427694941</v>
      </c>
      <c r="AP52" s="11">
        <f t="shared" si="13"/>
        <v>2.0498494538269618</v>
      </c>
      <c r="AQ52" s="11">
        <f t="shared" si="14"/>
        <v>117.44772234148182</v>
      </c>
      <c r="AR52" s="11">
        <f t="shared" si="15"/>
        <v>45.127374752806858</v>
      </c>
      <c r="AS52" s="11">
        <f t="shared" si="16"/>
        <v>67.730419489832741</v>
      </c>
      <c r="AT52" s="11">
        <f t="shared" si="17"/>
        <v>91.535302270531702</v>
      </c>
    </row>
    <row r="53" spans="25:46" x14ac:dyDescent="0.25">
      <c r="Y53" s="11">
        <v>51</v>
      </c>
      <c r="Z53" s="11">
        <f t="shared" si="7"/>
        <v>33.884415613920254</v>
      </c>
      <c r="AA53" s="11" t="str">
        <f t="shared" si="8"/>
        <v>212.90206232775i</v>
      </c>
      <c r="AB53" s="11">
        <f>$T$6/'5. Current Sense Resistor'!$B$11</f>
        <v>100</v>
      </c>
      <c r="AD53" s="11" t="str">
        <f t="shared" si="0"/>
        <v>0.788984603255502-0.406966165328642i</v>
      </c>
      <c r="AE53" s="11" t="str">
        <f t="shared" si="1"/>
        <v>0.999995765151291-0.00381344737253143i</v>
      </c>
      <c r="AF53" s="11" t="str">
        <f t="shared" si="9"/>
        <v>11.8044959484217-6.1459826133711i</v>
      </c>
      <c r="AG53" s="11">
        <f t="shared" si="10"/>
        <v>13.308614761881275</v>
      </c>
      <c r="AH53" s="11">
        <f t="shared" si="2"/>
        <v>-0.48002892613633463</v>
      </c>
      <c r="AI53" s="11">
        <f t="shared" si="3"/>
        <v>-27.503631511809107</v>
      </c>
      <c r="AJ53" s="11">
        <f t="shared" si="4"/>
        <v>22.482657078570764</v>
      </c>
      <c r="AL53" s="11" t="str">
        <f t="shared" si="5"/>
        <v>0.182147199437848-0.369252487949602i</v>
      </c>
      <c r="AM53" s="11" t="str">
        <f t="shared" si="6"/>
        <v>0.999986379610264-0.00367049753585735i</v>
      </c>
      <c r="AN53" s="11" t="str">
        <f t="shared" si="11"/>
        <v>-74.8756008724257+153.204160862726i</v>
      </c>
      <c r="AO53" s="11">
        <f t="shared" si="12"/>
        <v>170.52234607716031</v>
      </c>
      <c r="AP53" s="11">
        <f t="shared" si="13"/>
        <v>2.0253880472010435</v>
      </c>
      <c r="AQ53" s="11">
        <f t="shared" si="14"/>
        <v>116.04618698086337</v>
      </c>
      <c r="AR53" s="11">
        <f t="shared" si="15"/>
        <v>44.635625982358533</v>
      </c>
      <c r="AS53" s="11">
        <f t="shared" si="16"/>
        <v>67.118283060929301</v>
      </c>
      <c r="AT53" s="11">
        <f t="shared" si="17"/>
        <v>88.542555469054264</v>
      </c>
    </row>
    <row r="54" spans="25:46" x14ac:dyDescent="0.25">
      <c r="Y54" s="11">
        <v>52</v>
      </c>
      <c r="Z54" s="11">
        <f t="shared" si="7"/>
        <v>36.307805477010106</v>
      </c>
      <c r="AA54" s="11" t="str">
        <f t="shared" si="8"/>
        <v>228.128669909084i</v>
      </c>
      <c r="AB54" s="11">
        <f>$T$6/'5. Current Sense Resistor'!$B$11</f>
        <v>100</v>
      </c>
      <c r="AD54" s="11" t="str">
        <f t="shared" si="0"/>
        <v>0.76509592072285-0.422799746190488i</v>
      </c>
      <c r="AE54" s="11" t="str">
        <f t="shared" si="1"/>
        <v>0.999995137743842-0.00408618180079486i</v>
      </c>
      <c r="AF54" s="11" t="str">
        <f t="shared" si="9"/>
        <v>11.4437368501217-6.38510422819044i</v>
      </c>
      <c r="AG54" s="11">
        <f t="shared" si="10"/>
        <v>13.104528572203153</v>
      </c>
      <c r="AH54" s="11">
        <f t="shared" si="2"/>
        <v>-0.50893110948355547</v>
      </c>
      <c r="AI54" s="11">
        <f t="shared" si="3"/>
        <v>-29.159604636318154</v>
      </c>
      <c r="AJ54" s="11">
        <f t="shared" si="4"/>
        <v>22.348428041442666</v>
      </c>
      <c r="AL54" s="11" t="str">
        <f t="shared" si="5"/>
        <v>0.163878473317293-0.352304093914058i</v>
      </c>
      <c r="AM54" s="11" t="str">
        <f t="shared" si="6"/>
        <v>0.999984361732101-0.003933000946078i</v>
      </c>
      <c r="AN54" s="11" t="str">
        <f t="shared" si="11"/>
        <v>-67.2968668680953+146.1746721608i</v>
      </c>
      <c r="AO54" s="11">
        <f t="shared" si="12"/>
        <v>160.92204035364298</v>
      </c>
      <c r="AP54" s="11">
        <f t="shared" si="13"/>
        <v>2.0022541398303773</v>
      </c>
      <c r="AQ54" s="11">
        <f t="shared" si="14"/>
        <v>114.72071172487759</v>
      </c>
      <c r="AR54" s="11">
        <f t="shared" si="15"/>
        <v>44.132310608323849</v>
      </c>
      <c r="AS54" s="11">
        <f t="shared" si="16"/>
        <v>66.480738649766522</v>
      </c>
      <c r="AT54" s="11">
        <f t="shared" si="17"/>
        <v>85.561107088559439</v>
      </c>
    </row>
    <row r="55" spans="25:46" x14ac:dyDescent="0.25">
      <c r="Y55" s="11">
        <v>53</v>
      </c>
      <c r="Z55" s="11">
        <f t="shared" si="7"/>
        <v>38.904514499428039</v>
      </c>
      <c r="AA55" s="11" t="str">
        <f t="shared" si="8"/>
        <v>244.444273885761i</v>
      </c>
      <c r="AB55" s="11">
        <f>$T$6/'5. Current Sense Resistor'!$B$11</f>
        <v>100</v>
      </c>
      <c r="AD55" s="11" t="str">
        <f t="shared" si="0"/>
        <v>0.739400769158066-0.437741063600513i</v>
      </c>
      <c r="AE55" s="11" t="str">
        <f t="shared" si="1"/>
        <v>0.999994417383936-0.00437842184967254i</v>
      </c>
      <c r="AF55" s="11" t="str">
        <f t="shared" si="9"/>
        <v>11.0556970437491-6.61075174765487i</v>
      </c>
      <c r="AG55" s="11">
        <f t="shared" si="10"/>
        <v>12.881400381646575</v>
      </c>
      <c r="AH55" s="11">
        <f t="shared" si="2"/>
        <v>-0.53891063074980983</v>
      </c>
      <c r="AI55" s="11">
        <f t="shared" si="3"/>
        <v>-30.877304676697225</v>
      </c>
      <c r="AJ55" s="11">
        <f t="shared" si="4"/>
        <v>22.199261584950865</v>
      </c>
      <c r="AL55" s="11" t="str">
        <f t="shared" si="5"/>
        <v>0.147288907009139-0.335312850653458i</v>
      </c>
      <c r="AM55" s="11" t="str">
        <f t="shared" si="6"/>
        <v>0.999982044908133-0.00421427657032027i</v>
      </c>
      <c r="AN55" s="11" t="str">
        <f t="shared" si="11"/>
        <v>-60.41472522466+139.127514738495i</v>
      </c>
      <c r="AO55" s="11">
        <f t="shared" si="12"/>
        <v>151.67862203119236</v>
      </c>
      <c r="AP55" s="11">
        <f t="shared" si="13"/>
        <v>1.9804671924316757</v>
      </c>
      <c r="AQ55" s="11">
        <f t="shared" si="14"/>
        <v>113.47241159045846</v>
      </c>
      <c r="AR55" s="11">
        <f t="shared" si="15"/>
        <v>43.61848749073323</v>
      </c>
      <c r="AS55" s="11">
        <f t="shared" si="16"/>
        <v>65.817749075684091</v>
      </c>
      <c r="AT55" s="11">
        <f t="shared" si="17"/>
        <v>82.595106913761242</v>
      </c>
    </row>
    <row r="56" spans="25:46" x14ac:dyDescent="0.25">
      <c r="Y56" s="11">
        <v>54</v>
      </c>
      <c r="Z56" s="11">
        <f t="shared" si="7"/>
        <v>41.686938347033525</v>
      </c>
      <c r="AA56" s="11" t="str">
        <f t="shared" si="8"/>
        <v>261.926758523382i</v>
      </c>
      <c r="AB56" s="11">
        <f>$T$6/'5. Current Sense Resistor'!$B$11</f>
        <v>100</v>
      </c>
      <c r="AD56" s="11" t="str">
        <f t="shared" si="0"/>
        <v>0.711958802463418-0.451542639248984i</v>
      </c>
      <c r="AE56" s="11" t="str">
        <f t="shared" si="1"/>
        <v>0.999993590300406-0.004691562511629i</v>
      </c>
      <c r="AF56" s="11" t="str">
        <f t="shared" si="9"/>
        <v>10.6412774025973-6.81918787637051i</v>
      </c>
      <c r="AG56" s="11">
        <f t="shared" si="10"/>
        <v>12.638754212827562</v>
      </c>
      <c r="AH56" s="11">
        <f t="shared" si="2"/>
        <v>-0.5698976637286004</v>
      </c>
      <c r="AI56" s="11">
        <f t="shared" si="3"/>
        <v>-32.652730886014623</v>
      </c>
      <c r="AJ56" s="11">
        <f t="shared" si="4"/>
        <v>22.034085363170192</v>
      </c>
      <c r="AL56" s="11" t="str">
        <f t="shared" si="5"/>
        <v>0.132294194941923-0.318434994032754i</v>
      </c>
      <c r="AM56" s="11" t="str">
        <f t="shared" si="6"/>
        <v>0.999979384851688-0.0045156665588851i</v>
      </c>
      <c r="AN56" s="11" t="str">
        <f t="shared" si="11"/>
        <v>-54.1942017931954+132.127510204101i</v>
      </c>
      <c r="AO56" s="11">
        <f t="shared" si="12"/>
        <v>142.8099802560605</v>
      </c>
      <c r="AP56" s="11">
        <f t="shared" si="13"/>
        <v>1.9600355922951891</v>
      </c>
      <c r="AQ56" s="11">
        <f t="shared" si="14"/>
        <v>112.30176713393887</v>
      </c>
      <c r="AR56" s="11">
        <f t="shared" si="15"/>
        <v>43.095171182231411</v>
      </c>
      <c r="AS56" s="11">
        <f t="shared" si="16"/>
        <v>65.129256545401603</v>
      </c>
      <c r="AT56" s="11">
        <f t="shared" si="17"/>
        <v>79.649036247924244</v>
      </c>
    </row>
    <row r="57" spans="25:46" x14ac:dyDescent="0.25">
      <c r="Y57" s="11">
        <v>55</v>
      </c>
      <c r="Z57" s="11">
        <f t="shared" si="7"/>
        <v>44.668359215096302</v>
      </c>
      <c r="AA57" s="11" t="str">
        <f t="shared" si="8"/>
        <v>280.659578316113i</v>
      </c>
      <c r="AB57" s="11">
        <f>$T$6/'5. Current Sense Resistor'!$B$11</f>
        <v>100</v>
      </c>
      <c r="AD57" s="11" t="str">
        <f t="shared" si="0"/>
        <v>0.682873422334422-0.463956004850579i</v>
      </c>
      <c r="AE57" s="11" t="str">
        <f t="shared" si="1"/>
        <v>0.999992640681854-0.00502709853973784i</v>
      </c>
      <c r="AF57" s="11" t="str">
        <f t="shared" si="9"/>
        <v>10.2020394647723-7.00666037160018i</v>
      </c>
      <c r="AG57" s="11">
        <f t="shared" ref="AG57:AG120" si="18">IMABS(AF57)</f>
        <v>12.376384722677452</v>
      </c>
      <c r="AH57" s="11">
        <f t="shared" ref="AH57:AH120" si="19">IMARGUMENT(AF57)</f>
        <v>-0.60180517669979294</v>
      </c>
      <c r="AI57" s="11">
        <f t="shared" ref="AI57:AI120" si="20">AH57/(PI())*180</f>
        <v>-34.480896714022883</v>
      </c>
      <c r="AJ57" s="11">
        <f t="shared" ref="AJ57:AJ120" si="21">20*LOG(AG57,10)</f>
        <v>21.851876020838095</v>
      </c>
      <c r="AL57" s="11" t="str">
        <f t="shared" si="5"/>
        <v>0.118797988972106-0.30180314743353i</v>
      </c>
      <c r="AM57" s="11" t="str">
        <f t="shared" si="6"/>
        <v>0.999976330715891-0.00483860895378065i</v>
      </c>
      <c r="AN57" s="11" t="str">
        <f t="shared" si="11"/>
        <v>-48.5953265649005+125.229685150158i</v>
      </c>
      <c r="AO57" s="11">
        <f t="shared" si="12"/>
        <v>134.32788171767257</v>
      </c>
      <c r="AP57" s="11">
        <f t="shared" si="13"/>
        <v>1.9409583567064714</v>
      </c>
      <c r="AQ57" s="11">
        <f t="shared" si="14"/>
        <v>111.20872204992858</v>
      </c>
      <c r="AR57" s="11">
        <f t="shared" si="15"/>
        <v>42.563323324015698</v>
      </c>
      <c r="AS57" s="11">
        <f t="shared" si="16"/>
        <v>64.415199344853789</v>
      </c>
      <c r="AT57" s="11">
        <f t="shared" si="17"/>
        <v>76.727825335905692</v>
      </c>
    </row>
    <row r="58" spans="25:46" x14ac:dyDescent="0.25">
      <c r="Y58" s="11">
        <v>56</v>
      </c>
      <c r="Z58" s="11">
        <f t="shared" si="7"/>
        <v>47.863009232263813</v>
      </c>
      <c r="AA58" s="11" t="str">
        <f t="shared" si="8"/>
        <v>300.732156365561i</v>
      </c>
      <c r="AB58" s="11">
        <f>$T$6/'5. Current Sense Resistor'!$B$11</f>
        <v>100</v>
      </c>
      <c r="AD58" s="11" t="str">
        <f t="shared" si="0"/>
        <v>0.652293764984423-0.474740887893132i</v>
      </c>
      <c r="AE58" s="11" t="str">
        <f t="shared" si="1"/>
        <v>0.999991550374403-0.00538663158058407i</v>
      </c>
      <c r="AF58" s="11" t="str">
        <f t="shared" si="9"/>
        <v>9.74023543604865-7.16954076365006i</v>
      </c>
      <c r="AG58" s="11">
        <f t="shared" si="18"/>
        <v>12.094399576303806</v>
      </c>
      <c r="AH58" s="11">
        <f t="shared" si="19"/>
        <v>-0.63452917878702464</v>
      </c>
      <c r="AI58" s="11">
        <f t="shared" si="20"/>
        <v>-36.355843922398556</v>
      </c>
      <c r="AJ58" s="11">
        <f t="shared" si="21"/>
        <v>21.651686255660067</v>
      </c>
      <c r="AL58" s="11" t="str">
        <f t="shared" si="5"/>
        <v>0.106696516361052-0.285527085708852i</v>
      </c>
      <c r="AM58" s="11" t="str">
        <f t="shared" si="6"/>
        <v>0.999972824122074-0.00518464452427879i</v>
      </c>
      <c r="AN58" s="11" t="str">
        <f t="shared" si="11"/>
        <v>-43.5750494185029+118.479588116693i</v>
      </c>
      <c r="AO58" s="11">
        <f t="shared" si="12"/>
        <v>126.23865387481834</v>
      </c>
      <c r="AP58" s="11">
        <f t="shared" si="13"/>
        <v>1.9232268160621777</v>
      </c>
      <c r="AQ58" s="11">
        <f t="shared" si="14"/>
        <v>110.19277960674587</v>
      </c>
      <c r="AR58" s="11">
        <f t="shared" si="15"/>
        <v>42.023847097241102</v>
      </c>
      <c r="AS58" s="11">
        <f t="shared" si="16"/>
        <v>63.675533352901169</v>
      </c>
      <c r="AT58" s="11">
        <f t="shared" si="17"/>
        <v>73.83693568434731</v>
      </c>
    </row>
    <row r="59" spans="25:46" x14ac:dyDescent="0.25">
      <c r="Y59" s="11">
        <v>57</v>
      </c>
      <c r="Z59" s="11">
        <f t="shared" si="7"/>
        <v>51.286138399136469</v>
      </c>
      <c r="AA59" s="11" t="str">
        <f t="shared" si="8"/>
        <v>322.240311251433i</v>
      </c>
      <c r="AB59" s="11">
        <f>$T$6/'5. Current Sense Resistor'!$B$11</f>
        <v>100</v>
      </c>
      <c r="AD59" s="11" t="str">
        <f t="shared" si="0"/>
        <v>0.620414396743505-0.483675279841435i</v>
      </c>
      <c r="AE59" s="11" t="str">
        <f t="shared" si="1"/>
        <v>0.999990298534649-0.00577187781686725i</v>
      </c>
      <c r="AF59" s="11" t="str">
        <f t="shared" si="9"/>
        <v>9.25880359289208-7.30447640281924i</v>
      </c>
      <c r="AG59" s="11">
        <f t="shared" si="18"/>
        <v>11.793253134360105</v>
      </c>
      <c r="AH59" s="11">
        <f t="shared" si="19"/>
        <v>-0.66794963763335813</v>
      </c>
      <c r="AI59" s="11">
        <f t="shared" si="20"/>
        <v>-38.270695163684124</v>
      </c>
      <c r="AJ59" s="11">
        <f t="shared" si="21"/>
        <v>21.43267240965864</v>
      </c>
      <c r="AL59" s="11" t="str">
        <f t="shared" si="5"/>
        <v>0.0958824849851887-0.269695169387876i</v>
      </c>
      <c r="AM59" s="11" t="str">
        <f t="shared" si="6"/>
        <v>0.999968798044344-0.00555542408615426i</v>
      </c>
      <c r="AN59" s="11" t="str">
        <f t="shared" si="11"/>
        <v>-39.0888601778132+111.913884608175i</v>
      </c>
      <c r="AO59" s="11">
        <f t="shared" si="12"/>
        <v>118.54390139561183</v>
      </c>
      <c r="AP59" s="11">
        <f t="shared" si="13"/>
        <v>1.9068262205630915</v>
      </c>
      <c r="AQ59" s="11">
        <f t="shared" si="14"/>
        <v>109.25309470314697</v>
      </c>
      <c r="AR59" s="11">
        <f t="shared" si="15"/>
        <v>41.477584323878133</v>
      </c>
      <c r="AS59" s="11">
        <f t="shared" si="16"/>
        <v>62.91025673353677</v>
      </c>
      <c r="AT59" s="11">
        <f t="shared" si="17"/>
        <v>70.982399539462847</v>
      </c>
    </row>
    <row r="60" spans="25:46" x14ac:dyDescent="0.25">
      <c r="Y60" s="11">
        <v>58</v>
      </c>
      <c r="Z60" s="11">
        <f t="shared" si="7"/>
        <v>54.95408738576247</v>
      </c>
      <c r="AA60" s="11" t="str">
        <f t="shared" si="8"/>
        <v>345.286714431686i</v>
      </c>
      <c r="AB60" s="11">
        <f>$T$6/'5. Current Sense Resistor'!$B$11</f>
        <v>100</v>
      </c>
      <c r="AD60" s="11" t="str">
        <f t="shared" si="0"/>
        <v>0.587472373777279-0.490565719928836i</v>
      </c>
      <c r="AE60" s="11" t="str">
        <f t="shared" si="1"/>
        <v>0.999988861231218-0.00618467615605826i</v>
      </c>
      <c r="AF60" s="11" t="str">
        <f t="shared" si="9"/>
        <v>8.76132387928078-7.40854576210193i</v>
      </c>
      <c r="AG60" s="11">
        <f t="shared" si="18"/>
        <v>11.473767751999084</v>
      </c>
      <c r="AH60" s="11">
        <f t="shared" si="19"/>
        <v>-0.70193210747371648</v>
      </c>
      <c r="AI60" s="11">
        <f t="shared" si="20"/>
        <v>-40.217747262967265</v>
      </c>
      <c r="AJ60" s="11">
        <f t="shared" si="21"/>
        <v>21.194121095962345</v>
      </c>
      <c r="AL60" s="11" t="str">
        <f t="shared" si="5"/>
        <v>0.0862482593138827-0.254376215805056i</v>
      </c>
      <c r="AM60" s="11" t="str">
        <f t="shared" si="6"/>
        <v>0.999964175529036-0.00595271633800396i</v>
      </c>
      <c r="AN60" s="11" t="str">
        <f t="shared" si="11"/>
        <v>-35.09210614866+105.561133370205i</v>
      </c>
      <c r="AO60" s="11">
        <f t="shared" si="12"/>
        <v>111.24121894491731</v>
      </c>
      <c r="AP60" s="11">
        <f t="shared" si="13"/>
        <v>1.891737231693714</v>
      </c>
      <c r="AQ60" s="11">
        <f t="shared" si="14"/>
        <v>108.38855932381176</v>
      </c>
      <c r="AR60" s="11">
        <f t="shared" si="15"/>
        <v>40.925314781503516</v>
      </c>
      <c r="AS60" s="11">
        <f t="shared" si="16"/>
        <v>62.119435877465861</v>
      </c>
      <c r="AT60" s="11">
        <f t="shared" si="17"/>
        <v>68.170812060844497</v>
      </c>
    </row>
    <row r="61" spans="25:46" x14ac:dyDescent="0.25">
      <c r="Y61" s="11">
        <v>59</v>
      </c>
      <c r="Z61" s="11">
        <f t="shared" si="7"/>
        <v>58.884365535558892</v>
      </c>
      <c r="AA61" s="11" t="str">
        <f t="shared" si="8"/>
        <v>369.981380355616i</v>
      </c>
      <c r="AB61" s="11">
        <f>$T$6/'5. Current Sense Resistor'!$B$11</f>
        <v>100</v>
      </c>
      <c r="AD61" s="11" t="str">
        <f t="shared" si="0"/>
        <v>0.553741546787155-0.495256991365053i</v>
      </c>
      <c r="AE61" s="11" t="str">
        <f t="shared" si="1"/>
        <v>0.999987210987286-0.00662699700403816i</v>
      </c>
      <c r="AF61" s="11" t="str">
        <f t="shared" si="9"/>
        <v>8.25193189813488-7.47940486640854i</v>
      </c>
      <c r="AG61" s="11">
        <f t="shared" si="18"/>
        <v>11.137139543307864</v>
      </c>
      <c r="AH61" s="11">
        <f t="shared" si="19"/>
        <v>-0.73633005528671114</v>
      </c>
      <c r="AI61" s="11">
        <f t="shared" si="20"/>
        <v>-42.188604496563116</v>
      </c>
      <c r="AJ61" s="11">
        <f t="shared" si="21"/>
        <v>20.935473224156745</v>
      </c>
      <c r="AL61" s="11" t="str">
        <f t="shared" si="5"/>
        <v>0.0776883407888492-0.239621611047689i</v>
      </c>
      <c r="AM61" s="11" t="str">
        <f t="shared" si="6"/>
        <v>0.999958868224625-0.00637841625015761i</v>
      </c>
      <c r="AN61" s="11" t="str">
        <f t="shared" si="11"/>
        <v>-31.5410210879487+99.4426625720602i</v>
      </c>
      <c r="AO61" s="11">
        <f t="shared" si="12"/>
        <v>104.32487311610326</v>
      </c>
      <c r="AP61" s="11">
        <f t="shared" si="13"/>
        <v>1.8779372747255816</v>
      </c>
      <c r="AQ61" s="11">
        <f t="shared" si="14"/>
        <v>107.59788003207562</v>
      </c>
      <c r="AR61" s="11">
        <f t="shared" si="15"/>
        <v>40.3677573035705</v>
      </c>
      <c r="AS61" s="11">
        <f t="shared" si="16"/>
        <v>61.303230527727244</v>
      </c>
      <c r="AT61" s="11">
        <f t="shared" si="17"/>
        <v>65.409275535512506</v>
      </c>
    </row>
    <row r="62" spans="25:46" x14ac:dyDescent="0.25">
      <c r="Y62" s="11">
        <v>60</v>
      </c>
      <c r="Z62" s="11">
        <f t="shared" si="7"/>
        <v>63.095734448019307</v>
      </c>
      <c r="AA62" s="11" t="str">
        <f t="shared" si="8"/>
        <v>396.4421916295i</v>
      </c>
      <c r="AB62" s="11">
        <f>$T$6/'5. Current Sense Resistor'!$B$11</f>
        <v>100</v>
      </c>
      <c r="AD62" s="11" t="str">
        <f t="shared" si="0"/>
        <v>0.51952427307766-0.497640378524225i</v>
      </c>
      <c r="AE62" s="11" t="str">
        <f t="shared" si="1"/>
        <v>0.999985316255332-0.00710095166540403i</v>
      </c>
      <c r="AF62" s="11" t="str">
        <f t="shared" si="9"/>
        <v>7.73519374964809-7.51541199019901i</v>
      </c>
      <c r="AG62" s="11">
        <f t="shared" si="18"/>
        <v>10.784926505406606</v>
      </c>
      <c r="AH62" s="11">
        <f t="shared" si="19"/>
        <v>-0.77098781473132971</v>
      </c>
      <c r="AI62" s="11">
        <f t="shared" si="20"/>
        <v>-44.174347840119431</v>
      </c>
      <c r="AJ62" s="11">
        <f t="shared" si="21"/>
        <v>20.656343798404816</v>
      </c>
      <c r="AL62" s="11" t="str">
        <f t="shared" si="5"/>
        <v>0.0701012183541697-0.225467507446385i</v>
      </c>
      <c r="AM62" s="11" t="str">
        <f t="shared" si="6"/>
        <v>0.999952774694081-0.00683455404389303i</v>
      </c>
      <c r="AN62" s="11" t="str">
        <f t="shared" si="11"/>
        <v>-28.3934928804768+93.5734814798279i</v>
      </c>
      <c r="AO62" s="11">
        <f t="shared" si="12"/>
        <v>97.786435021476166</v>
      </c>
      <c r="AP62" s="11">
        <f t="shared" si="13"/>
        <v>1.8654017407158685</v>
      </c>
      <c r="AQ62" s="11">
        <f t="shared" si="14"/>
        <v>106.87964683937636</v>
      </c>
      <c r="AR62" s="11">
        <f t="shared" si="15"/>
        <v>39.805572268775379</v>
      </c>
      <c r="AS62" s="11">
        <f t="shared" si="16"/>
        <v>60.461916067180198</v>
      </c>
      <c r="AT62" s="11">
        <f t="shared" si="17"/>
        <v>62.705298999256932</v>
      </c>
    </row>
    <row r="63" spans="25:46" x14ac:dyDescent="0.25">
      <c r="Y63" s="11">
        <v>61</v>
      </c>
      <c r="Z63" s="11">
        <f t="shared" si="7"/>
        <v>67.608297539198134</v>
      </c>
      <c r="AA63" s="11" t="str">
        <f t="shared" si="8"/>
        <v>424.795461741715i</v>
      </c>
      <c r="AB63" s="11">
        <f>$T$6/'5. Current Sense Resistor'!$B$11</f>
        <v>100</v>
      </c>
      <c r="AD63" s="11" t="str">
        <f t="shared" si="0"/>
        <v>0.485140996577009-0.497659697191453i</v>
      </c>
      <c r="AE63" s="11" t="str">
        <f t="shared" si="1"/>
        <v>0.999983140814074-0.007608802415072i</v>
      </c>
      <c r="AF63" s="11" t="str">
        <f t="shared" si="9"/>
        <v>7.2159486721436-7.51571872459297i</v>
      </c>
      <c r="AG63" s="11">
        <f t="shared" si="18"/>
        <v>10.419018340813514</v>
      </c>
      <c r="AH63" s="11">
        <f t="shared" si="19"/>
        <v>-0.80574404003826017</v>
      </c>
      <c r="AI63" s="11">
        <f t="shared" si="20"/>
        <v>-46.165732862012334</v>
      </c>
      <c r="AJ63" s="11">
        <f t="shared" si="21"/>
        <v>20.356536050573158</v>
      </c>
      <c r="AL63" s="11" t="str">
        <f t="shared" si="5"/>
        <v>0.063390672128079-0.211936990809054i</v>
      </c>
      <c r="AM63" s="11" t="str">
        <f t="shared" si="6"/>
        <v>0.999945778477507-0.00732330480094975i</v>
      </c>
      <c r="AN63" s="11" t="str">
        <f t="shared" si="11"/>
        <v>-25.6096043519396+87.9631795813227i</v>
      </c>
      <c r="AO63" s="11">
        <f t="shared" si="12"/>
        <v>91.61535240951109</v>
      </c>
      <c r="AP63" s="11">
        <f t="shared" si="13"/>
        <v>1.8541050358439164</v>
      </c>
      <c r="AQ63" s="11">
        <f t="shared" si="14"/>
        <v>106.23239332780862</v>
      </c>
      <c r="AR63" s="11">
        <f t="shared" si="15"/>
        <v>39.239365130137401</v>
      </c>
      <c r="AS63" s="11">
        <f t="shared" si="16"/>
        <v>59.595901180710555</v>
      </c>
      <c r="AT63" s="11">
        <f t="shared" si="17"/>
        <v>60.066660465796289</v>
      </c>
    </row>
    <row r="64" spans="25:46" x14ac:dyDescent="0.25">
      <c r="Y64" s="11">
        <v>62</v>
      </c>
      <c r="Z64" s="11">
        <f t="shared" si="7"/>
        <v>72.443596007499011</v>
      </c>
      <c r="AA64" s="11" t="str">
        <f t="shared" si="8"/>
        <v>455.176538033571i</v>
      </c>
      <c r="AB64" s="11">
        <f>$T$6/'5. Current Sense Resistor'!$B$11</f>
        <v>100</v>
      </c>
      <c r="AD64" s="11" t="str">
        <f t="shared" si="0"/>
        <v>0.450918421849546-0.495314489331117i</v>
      </c>
      <c r="AE64" s="11" t="str">
        <f t="shared" si="1"/>
        <v>0.999980643076084-0.0081529732889568i</v>
      </c>
      <c r="AF64" s="11" t="str">
        <f t="shared" si="9"/>
        <v>6.69913044985168-7.48031822403545i</v>
      </c>
      <c r="AG64" s="11">
        <f t="shared" si="18"/>
        <v>10.041588993628791</v>
      </c>
      <c r="AH64" s="11">
        <f t="shared" si="19"/>
        <v>-0.8404354829577857</v>
      </c>
      <c r="AI64" s="11">
        <f t="shared" si="20"/>
        <v>-48.153406126520146</v>
      </c>
      <c r="AJ64" s="11">
        <f t="shared" si="21"/>
        <v>20.036048831003587</v>
      </c>
      <c r="AL64" s="11" t="str">
        <f t="shared" si="5"/>
        <v>0.0574666191481594-0.199042136714538i</v>
      </c>
      <c r="AM64" s="11" t="str">
        <f t="shared" si="6"/>
        <v>0.999937745868162-0.00784699874568415i</v>
      </c>
      <c r="AN64" s="11" t="str">
        <f t="shared" si="11"/>
        <v>-23.1519841109199+82.6167796915984i</v>
      </c>
      <c r="AO64" s="11">
        <f t="shared" si="12"/>
        <v>85.799456029058788</v>
      </c>
      <c r="AP64" s="11">
        <f t="shared" si="13"/>
        <v>1.8440214826409755</v>
      </c>
      <c r="AQ64" s="11">
        <f t="shared" si="14"/>
        <v>105.65464828678449</v>
      </c>
      <c r="AR64" s="11">
        <f t="shared" si="15"/>
        <v>38.669690688366416</v>
      </c>
      <c r="AS64" s="11">
        <f t="shared" si="16"/>
        <v>58.705739519369999</v>
      </c>
      <c r="AT64" s="11">
        <f t="shared" si="17"/>
        <v>57.501242160264347</v>
      </c>
    </row>
    <row r="65" spans="25:46" x14ac:dyDescent="0.25">
      <c r="Y65" s="11">
        <v>63</v>
      </c>
      <c r="Z65" s="11">
        <f t="shared" si="7"/>
        <v>77.624711662869146</v>
      </c>
      <c r="AA65" s="11" t="str">
        <f t="shared" si="8"/>
        <v>487.730447794191i</v>
      </c>
      <c r="AB65" s="11">
        <f>$T$6/'5. Current Sense Resistor'!$B$11</f>
        <v>100</v>
      </c>
      <c r="AD65" s="11" t="str">
        <f t="shared" si="0"/>
        <v>0.417177192050538-0.490660049349372i</v>
      </c>
      <c r="AE65" s="11" t="str">
        <f t="shared" si="1"/>
        <v>0.999977775292811-0.00873606164487015i</v>
      </c>
      <c r="AF65" s="11" t="str">
        <f t="shared" si="9"/>
        <v>6.18958132938336-7.41004560324565i</v>
      </c>
      <c r="AG65" s="11">
        <f t="shared" si="18"/>
        <v>9.6550345869515795</v>
      </c>
      <c r="AH65" s="11">
        <f t="shared" si="19"/>
        <v>-0.87490088275757549</v>
      </c>
      <c r="AI65" s="11">
        <f t="shared" si="20"/>
        <v>-50.128128074279132</v>
      </c>
      <c r="AJ65" s="11">
        <f t="shared" si="21"/>
        <v>19.695076677575617</v>
      </c>
      <c r="AL65" s="11" t="str">
        <f t="shared" si="5"/>
        <v>0.0522455881714807-0.186785904492903i</v>
      </c>
      <c r="AM65" s="11" t="str">
        <f t="shared" si="6"/>
        <v>0.999928523359543-0.00840813224460821i</v>
      </c>
      <c r="AN65" s="11" t="str">
        <f t="shared" si="11"/>
        <v>-20.9860035036342+77.5355237273822i</v>
      </c>
      <c r="AO65" s="11">
        <f t="shared" si="12"/>
        <v>80.325399362430787</v>
      </c>
      <c r="AP65" s="11">
        <f t="shared" si="13"/>
        <v>1.8351260820820126</v>
      </c>
      <c r="AQ65" s="11">
        <f t="shared" si="14"/>
        <v>105.1449793776776</v>
      </c>
      <c r="AR65" s="11">
        <f t="shared" si="15"/>
        <v>38.097057869150554</v>
      </c>
      <c r="AS65" s="11">
        <f t="shared" si="16"/>
        <v>57.792134546726174</v>
      </c>
      <c r="AT65" s="11">
        <f t="shared" si="17"/>
        <v>55.016851303398468</v>
      </c>
    </row>
    <row r="66" spans="25:46" x14ac:dyDescent="0.25">
      <c r="Y66" s="11">
        <v>64</v>
      </c>
      <c r="Z66" s="11">
        <f t="shared" si="7"/>
        <v>83.176377110267055</v>
      </c>
      <c r="AA66" s="11" t="str">
        <f t="shared" si="8"/>
        <v>522.612590563658i</v>
      </c>
      <c r="AB66" s="11">
        <f>$T$6/'5. Current Sense Resistor'!$B$11</f>
        <v>100</v>
      </c>
      <c r="AD66" s="11" t="str">
        <f t="shared" ref="AD66:AD129" si="22">IMDIV(IMSUM(1,IMDIV(AA66,$W$3)),IMSUM(1,IMDIV(AA66,$W$5)))</f>
        <v>0.384220047226555-0.4838042790836i</v>
      </c>
      <c r="AE66" s="11" t="str">
        <f t="shared" ref="AE66:AE129" si="23">IMDIV(IMSUM(1,IMDIV(IMPRODUCT(-1,AA66),$W$4)),IMSUM(1,IMDIV(AA66,$W$1*$W$2),IMDIV(IMPOWER(AA66,2),$W$1^2)))</f>
        <v>0.999974482641868-0.00936085054837377i</v>
      </c>
      <c r="AF66" s="11" t="str">
        <f t="shared" si="9"/>
        <v>5.69187319022252-7.30653044266091i</v>
      </c>
      <c r="AG66" s="11">
        <f t="shared" si="18"/>
        <v>9.2619008590625995</v>
      </c>
      <c r="AH66" s="11">
        <f t="shared" si="19"/>
        <v>-0.90898474745234659</v>
      </c>
      <c r="AI66" s="11">
        <f t="shared" si="20"/>
        <v>-52.080989670784476</v>
      </c>
      <c r="AJ66" s="11">
        <f t="shared" si="21"/>
        <v>19.334002558438243</v>
      </c>
      <c r="AL66" s="11" t="str">
        <f t="shared" ref="AL66:AL129" si="24">IMDIV(IMSUM(1,IMDIV(AA66,wz1e)),IMSUM(1,IMDIV(AA66,wp1e)))</f>
        <v>0.0476509035818362-0.175163840693007i</v>
      </c>
      <c r="AM66" s="11" t="str">
        <f t="shared" ref="AM66:AM129" si="25">IMDIV(IMSUM(1,IMDIV(AA66,wz2e)),IMSUM(1,IMDIV(AA66,wp2e)))</f>
        <v>0.999917934714964-0.0090093795704807i</v>
      </c>
      <c r="AN66" s="11" t="str">
        <f t="shared" si="11"/>
        <v>-19.0798528905343+72.7175794522807i</v>
      </c>
      <c r="AO66" s="11">
        <f t="shared" si="12"/>
        <v>75.179033963753383</v>
      </c>
      <c r="AP66" s="11">
        <f t="shared" si="13"/>
        <v>1.8273951480398067</v>
      </c>
      <c r="AQ66" s="11">
        <f t="shared" si="14"/>
        <v>104.7020294853652</v>
      </c>
      <c r="AR66" s="11">
        <f t="shared" si="15"/>
        <v>37.521934816247878</v>
      </c>
      <c r="AS66" s="11">
        <f t="shared" si="16"/>
        <v>56.855937374686121</v>
      </c>
      <c r="AT66" s="11">
        <f t="shared" si="17"/>
        <v>52.621039814580726</v>
      </c>
    </row>
    <row r="67" spans="25:46" x14ac:dyDescent="0.25">
      <c r="Y67" s="11">
        <v>65</v>
      </c>
      <c r="Z67" s="11">
        <f t="shared" ref="Z67:Z130" si="26">10^(LOG($F$3/$F$2,10)*Y67/200)</f>
        <v>89.125093813374562</v>
      </c>
      <c r="AA67" s="11" t="str">
        <f t="shared" ref="AA67:AA130" si="27">IMPRODUCT(COMPLEX(0,1),2*PI()*Z67)</f>
        <v>559.989479949197i</v>
      </c>
      <c r="AB67" s="11">
        <f>$T$6/'5. Current Sense Resistor'!$B$11</f>
        <v>100</v>
      </c>
      <c r="AD67" s="11" t="str">
        <f t="shared" si="22"/>
        <v>0.352321375004435-0.474901699472924i</v>
      </c>
      <c r="AE67" s="11" t="str">
        <f t="shared" si="23"/>
        <v>0.999970702179101-0.0100303220421551i</v>
      </c>
      <c r="AF67" s="11" t="str">
        <f t="shared" ref="AF67:AF130" si="28">IMPRODUCT(AB67,AC$2,AD67,AE67)</f>
        <v>5.21014974261092-7.17210635503307i</v>
      </c>
      <c r="AG67" s="11">
        <f t="shared" si="18"/>
        <v>8.8648051252317082</v>
      </c>
      <c r="AH67" s="11">
        <f t="shared" si="19"/>
        <v>-0.94254081588882865</v>
      </c>
      <c r="AI67" s="11">
        <f t="shared" si="20"/>
        <v>-54.003610769247047</v>
      </c>
      <c r="AJ67" s="11">
        <f t="shared" si="21"/>
        <v>18.953383859163395</v>
      </c>
      <c r="AL67" s="11" t="str">
        <f t="shared" si="24"/>
        <v>0.0436126488305249-0.164165581245i</v>
      </c>
      <c r="AM67" s="11" t="str">
        <f t="shared" si="25"/>
        <v>0.999905777603923-0.00965360548054144i</v>
      </c>
      <c r="AN67" s="11" t="str">
        <f t="shared" ref="AN67:AN130" si="29">IMPRODUCT($AK$2,AL67,AM67)</f>
        <v>-17.4045264606347+68.1586637158701i</v>
      </c>
      <c r="AO67" s="11">
        <f t="shared" ref="AO67:AO130" si="30">IMABS(AN67)</f>
        <v>70.345724680694005</v>
      </c>
      <c r="AP67" s="11">
        <f t="shared" ref="AP67:AP130" si="31">IMARGUMENT(AN67)</f>
        <v>1.8208068266639372</v>
      </c>
      <c r="AQ67" s="11">
        <f t="shared" ref="AQ67:AQ130" si="32">AP67/(PI())*180</f>
        <v>104.32454647645204</v>
      </c>
      <c r="AR67" s="11">
        <f t="shared" ref="AR67:AR130" si="33">20*LOG(AO67,10)</f>
        <v>36.944754159365679</v>
      </c>
      <c r="AS67" s="11">
        <f t="shared" ref="AS67:AS130" si="34">AR67+AJ67</f>
        <v>55.898138018529075</v>
      </c>
      <c r="AT67" s="11">
        <f t="shared" ref="AT67:AT130" si="35">AQ67+AI67</f>
        <v>50.320935707204995</v>
      </c>
    </row>
    <row r="68" spans="25:46" x14ac:dyDescent="0.25">
      <c r="Y68" s="11">
        <v>66</v>
      </c>
      <c r="Z68" s="11">
        <f t="shared" si="26"/>
        <v>95.49925860214357</v>
      </c>
      <c r="AA68" s="11" t="str">
        <f t="shared" si="27"/>
        <v>600.039538495532i</v>
      </c>
      <c r="AB68" s="11">
        <f>$T$6/'5. Current Sense Resistor'!$B$11</f>
        <v>100</v>
      </c>
      <c r="AD68" s="11" t="str">
        <f t="shared" si="22"/>
        <v>0.321718883475078-0.464145223645269i</v>
      </c>
      <c r="AE68" s="11" t="str">
        <f t="shared" si="23"/>
        <v>0.999966361635439-0.0107476713615841i</v>
      </c>
      <c r="AF68" s="11" t="str">
        <f t="shared" si="28"/>
        <v>4.74800077412118-7.00968674569696i</v>
      </c>
      <c r="AG68" s="11">
        <f t="shared" si="18"/>
        <v>8.4663581086471265</v>
      </c>
      <c r="AH68" s="11">
        <f t="shared" si="19"/>
        <v>-0.9754350231094151</v>
      </c>
      <c r="AI68" s="11">
        <f t="shared" si="20"/>
        <v>-55.888310013415406</v>
      </c>
      <c r="AJ68" s="11">
        <f t="shared" si="21"/>
        <v>18.55393268488632</v>
      </c>
      <c r="AL68" s="11" t="str">
        <f t="shared" si="24"/>
        <v>0.0400674691762492-0.153776153915999i</v>
      </c>
      <c r="AM68" s="11" t="str">
        <f t="shared" si="25"/>
        <v>0.999891819741398-0.0103438786608569i</v>
      </c>
      <c r="AN68" s="11" t="str">
        <f t="shared" si="29"/>
        <v>-15.9337403767565+63.8525828499932i</v>
      </c>
      <c r="AO68" s="11">
        <f t="shared" si="30"/>
        <v>65.810610231247097</v>
      </c>
      <c r="AP68" s="11">
        <f t="shared" si="31"/>
        <v>1.8153415132114352</v>
      </c>
      <c r="AQ68" s="11">
        <f t="shared" si="32"/>
        <v>104.01140708190761</v>
      </c>
      <c r="AR68" s="11">
        <f t="shared" si="33"/>
        <v>36.365918356596964</v>
      </c>
      <c r="AS68" s="11">
        <f t="shared" si="34"/>
        <v>54.919851041483284</v>
      </c>
      <c r="AT68" s="11">
        <f t="shared" si="35"/>
        <v>48.1230970684922</v>
      </c>
    </row>
    <row r="69" spans="25:46" x14ac:dyDescent="0.25">
      <c r="Y69" s="11">
        <v>67</v>
      </c>
      <c r="Z69" s="11">
        <f t="shared" si="26"/>
        <v>102.32929922807544</v>
      </c>
      <c r="AA69" s="11" t="str">
        <f t="shared" si="27"/>
        <v>642.953949403827i</v>
      </c>
      <c r="AB69" s="11">
        <f>$T$6/'5. Current Sense Resistor'!$B$11</f>
        <v>100</v>
      </c>
      <c r="AD69" s="11" t="str">
        <f t="shared" si="22"/>
        <v>0.292607861581155-0.451756477329744i</v>
      </c>
      <c r="AE69" s="11" t="str">
        <f t="shared" si="23"/>
        <v>0.999961378035528-0.0115163221634694i</v>
      </c>
      <c r="AF69" s="11" t="str">
        <f t="shared" si="28"/>
        <v>4.3083754718625-6.82261863505044i</v>
      </c>
      <c r="AG69" s="11">
        <f t="shared" si="18"/>
        <v>8.0690906703223977</v>
      </c>
      <c r="AH69" s="11">
        <f t="shared" si="19"/>
        <v>-1.007547840285534</v>
      </c>
      <c r="AI69" s="11">
        <f t="shared" si="20"/>
        <v>-57.728238905882236</v>
      </c>
      <c r="AJ69" s="11">
        <f t="shared" si="21"/>
        <v>18.136491911015007</v>
      </c>
      <c r="AL69" s="11" t="str">
        <f t="shared" si="24"/>
        <v>0.0369582629128275-0.143977090929534i</v>
      </c>
      <c r="AM69" s="11" t="str">
        <f t="shared" si="25"/>
        <v>0.999875794456807-0.0110834860910237i</v>
      </c>
      <c r="AN69" s="11" t="str">
        <f t="shared" si="29"/>
        <v>-14.6438046570432+59.7916943173585i</v>
      </c>
      <c r="AO69" s="11">
        <f t="shared" si="30"/>
        <v>61.558815162201434</v>
      </c>
      <c r="AP69" s="11">
        <f t="shared" si="31"/>
        <v>1.8109821780328108</v>
      </c>
      <c r="AQ69" s="11">
        <f t="shared" si="32"/>
        <v>103.76163557468952</v>
      </c>
      <c r="AR69" s="11">
        <f t="shared" si="33"/>
        <v>35.785805045323372</v>
      </c>
      <c r="AS69" s="11">
        <f t="shared" si="34"/>
        <v>53.922296956338378</v>
      </c>
      <c r="AT69" s="11">
        <f t="shared" si="35"/>
        <v>46.033396668807285</v>
      </c>
    </row>
    <row r="70" spans="25:46" x14ac:dyDescent="0.25">
      <c r="Y70" s="11">
        <v>68</v>
      </c>
      <c r="Z70" s="11">
        <f t="shared" si="26"/>
        <v>109.64781961431841</v>
      </c>
      <c r="AA70" s="11" t="str">
        <f t="shared" si="27"/>
        <v>688.937569164963i</v>
      </c>
      <c r="AB70" s="11">
        <f>$T$6/'5. Current Sense Resistor'!$B$11</f>
        <v>100</v>
      </c>
      <c r="AD70" s="11" t="str">
        <f t="shared" si="22"/>
        <v>0.265138194239967-0.437975517932628i</v>
      </c>
      <c r="AE70" s="11" t="str">
        <f t="shared" si="23"/>
        <v>0.999955656111761-0.0123399428396727i</v>
      </c>
      <c r="AF70" s="11" t="str">
        <f t="shared" si="28"/>
        <v>3.89353734578998-6.61452739988065i</v>
      </c>
      <c r="AG70" s="11">
        <f t="shared" si="18"/>
        <v>7.6753896179173307</v>
      </c>
      <c r="AH70" s="11">
        <f t="shared" si="19"/>
        <v>-1.0387759179778189</v>
      </c>
      <c r="AI70" s="11">
        <f t="shared" si="20"/>
        <v>-59.517475959956798</v>
      </c>
      <c r="AJ70" s="11">
        <f t="shared" si="21"/>
        <v>17.702008607067306</v>
      </c>
      <c r="AL70" s="11" t="str">
        <f t="shared" si="24"/>
        <v>0.0342338004668558-0.134747366670053i</v>
      </c>
      <c r="AM70" s="11" t="str">
        <f t="shared" si="25"/>
        <v>0.999857395608666-0.0118759483855895i</v>
      </c>
      <c r="AN70" s="11" t="str">
        <f t="shared" si="29"/>
        <v>-13.5134651298209+55.9672958028112i</v>
      </c>
      <c r="AO70" s="11">
        <f t="shared" si="30"/>
        <v>57.575619313162875</v>
      </c>
      <c r="AP70" s="11">
        <f t="shared" si="31"/>
        <v>1.8077146120538479</v>
      </c>
      <c r="AQ70" s="11">
        <f t="shared" si="32"/>
        <v>103.57441783481443</v>
      </c>
      <c r="AR70" s="11">
        <f t="shared" si="33"/>
        <v>35.204772363152685</v>
      </c>
      <c r="AS70" s="11">
        <f t="shared" si="34"/>
        <v>52.906780970219991</v>
      </c>
      <c r="AT70" s="11">
        <f t="shared" si="35"/>
        <v>44.056941874857628</v>
      </c>
    </row>
    <row r="71" spans="25:46" x14ac:dyDescent="0.25">
      <c r="Y71" s="11">
        <v>69</v>
      </c>
      <c r="Z71" s="11">
        <f t="shared" si="26"/>
        <v>117.48975549395293</v>
      </c>
      <c r="AA71" s="11" t="str">
        <f t="shared" si="27"/>
        <v>738.209905463727i</v>
      </c>
      <c r="AB71" s="11">
        <f>$T$6/'5. Current Sense Resistor'!$B$11</f>
        <v>100</v>
      </c>
      <c r="AD71" s="11" t="str">
        <f t="shared" si="22"/>
        <v>0.239414017283896-0.42305075702378i</v>
      </c>
      <c r="AE71" s="11" t="str">
        <f t="shared" si="23"/>
        <v>0.999949086483405-0.013222463992183i</v>
      </c>
      <c r="AF71" s="11" t="str">
        <f t="shared" si="28"/>
        <v>3.50505901766896-6.38916458656229i</v>
      </c>
      <c r="AG71" s="11">
        <f t="shared" si="18"/>
        <v>7.2874455628515111</v>
      </c>
      <c r="AH71" s="11">
        <f t="shared" si="19"/>
        <v>-1.0690330195142437</v>
      </c>
      <c r="AI71" s="11">
        <f t="shared" si="20"/>
        <v>-61.251080178292732</v>
      </c>
      <c r="AJ71" s="11">
        <f t="shared" si="21"/>
        <v>17.251506472071423</v>
      </c>
      <c r="AL71" s="11" t="str">
        <f t="shared" si="24"/>
        <v>0.0318483020752853-0.126064178033812i</v>
      </c>
      <c r="AM71" s="11" t="str">
        <f t="shared" si="25"/>
        <v>0.999836271748704-0.0127250361704085i</v>
      </c>
      <c r="AN71" s="11" t="str">
        <f t="shared" si="29"/>
        <v>-12.5237282011865+52.3699490328675i</v>
      </c>
      <c r="AO71" s="11">
        <f t="shared" si="30"/>
        <v>53.84659069766937</v>
      </c>
      <c r="AP71" s="11">
        <f t="shared" si="31"/>
        <v>1.805527600375513</v>
      </c>
      <c r="AQ71" s="11">
        <f t="shared" si="32"/>
        <v>103.4491112959</v>
      </c>
      <c r="AR71" s="11">
        <f t="shared" si="33"/>
        <v>34.623164222109232</v>
      </c>
      <c r="AS71" s="11">
        <f t="shared" si="34"/>
        <v>51.874670694180651</v>
      </c>
      <c r="AT71" s="11">
        <f t="shared" si="35"/>
        <v>42.198031117607265</v>
      </c>
    </row>
    <row r="72" spans="25:46" x14ac:dyDescent="0.25">
      <c r="Y72" s="11">
        <v>70</v>
      </c>
      <c r="Z72" s="11">
        <f t="shared" si="26"/>
        <v>125.89254117941665</v>
      </c>
      <c r="AA72" s="11" t="str">
        <f t="shared" si="27"/>
        <v>791.006165022012i</v>
      </c>
      <c r="AB72" s="11">
        <f>$T$6/'5. Current Sense Resistor'!$B$11</f>
        <v>100</v>
      </c>
      <c r="AD72" s="11" t="str">
        <f t="shared" si="22"/>
        <v>0.215495670544751-0.407229755846341i</v>
      </c>
      <c r="AE72" s="11" t="str">
        <f t="shared" si="23"/>
        <v>0.999941543566047-0.0141680971515007i</v>
      </c>
      <c r="AF72" s="11" t="str">
        <f t="shared" si="28"/>
        <v>3.14385171584885-6.15026890840507i</v>
      </c>
      <c r="AG72" s="11">
        <f t="shared" si="18"/>
        <v>6.9072144354247351</v>
      </c>
      <c r="AH72" s="11">
        <f t="shared" si="19"/>
        <v>-1.0982502828297673</v>
      </c>
      <c r="AI72" s="11">
        <f t="shared" si="20"/>
        <v>-62.925106055194654</v>
      </c>
      <c r="AJ72" s="11">
        <f t="shared" si="21"/>
        <v>16.786058778950459</v>
      </c>
      <c r="AL72" s="11" t="str">
        <f t="shared" si="24"/>
        <v>0.0297609973547489-0.117903585902268i</v>
      </c>
      <c r="AM72" s="11" t="str">
        <f t="shared" si="25"/>
        <v>0.999812019425138-0.0136347875536409i</v>
      </c>
      <c r="AN72" s="11" t="str">
        <f t="shared" si="29"/>
        <v>-11.6576781055322+48.9897459886131i</v>
      </c>
      <c r="AO72" s="11">
        <f t="shared" si="30"/>
        <v>50.357687306319356</v>
      </c>
      <c r="AP72" s="11">
        <f t="shared" si="31"/>
        <v>1.8044130306755579</v>
      </c>
      <c r="AQ72" s="11">
        <f t="shared" si="32"/>
        <v>103.38525115611942</v>
      </c>
      <c r="AR72" s="11">
        <f t="shared" si="33"/>
        <v>34.041315535481004</v>
      </c>
      <c r="AS72" s="11">
        <f t="shared" si="34"/>
        <v>50.827374314431466</v>
      </c>
      <c r="AT72" s="11">
        <f t="shared" si="35"/>
        <v>40.46014510092477</v>
      </c>
    </row>
    <row r="73" spans="25:46" x14ac:dyDescent="0.25">
      <c r="Y73" s="11">
        <v>71</v>
      </c>
      <c r="Z73" s="11">
        <f t="shared" si="26"/>
        <v>134.89628825916537</v>
      </c>
      <c r="AA73" s="11" t="str">
        <f t="shared" si="27"/>
        <v>847.57837638305i</v>
      </c>
      <c r="AB73" s="11">
        <f>$T$6/'5. Current Sense Resistor'!$B$11</f>
        <v>100</v>
      </c>
      <c r="AD73" s="11" t="str">
        <f t="shared" si="22"/>
        <v>0.193403458881487-0.39075137468335i</v>
      </c>
      <c r="AE73" s="11" t="str">
        <f t="shared" si="23"/>
        <v>0.999932883171425-0.0151813548257588i</v>
      </c>
      <c r="AF73" s="11" t="str">
        <f t="shared" si="28"/>
        <v>2.81022207299691-5.90144768854514i</v>
      </c>
      <c r="AG73" s="11">
        <f t="shared" si="18"/>
        <v>6.5363929594382428</v>
      </c>
      <c r="AH73" s="11">
        <f t="shared" si="19"/>
        <v>-1.1263758892133102</v>
      </c>
      <c r="AI73" s="11">
        <f t="shared" si="20"/>
        <v>-64.536584597217868</v>
      </c>
      <c r="AJ73" s="11">
        <f t="shared" si="21"/>
        <v>16.306763070565534</v>
      </c>
      <c r="AL73" s="11" t="str">
        <f t="shared" si="24"/>
        <v>0.0279356839442664-0.110241035955416i</v>
      </c>
      <c r="AM73" s="11" t="str">
        <f t="shared" si="25"/>
        <v>0.999784175498788-0.0146095267520988i</v>
      </c>
      <c r="AN73" s="11" t="str">
        <f t="shared" si="29"/>
        <v>-10.90029376603+45.8165250697577i</v>
      </c>
      <c r="AO73" s="11">
        <f t="shared" si="30"/>
        <v>47.095332822409155</v>
      </c>
      <c r="AP73" s="11">
        <f t="shared" si="31"/>
        <v>1.8043659410267516</v>
      </c>
      <c r="AQ73" s="11">
        <f t="shared" si="32"/>
        <v>103.38255311798407</v>
      </c>
      <c r="AR73" s="11">
        <f t="shared" si="33"/>
        <v>33.459557408010852</v>
      </c>
      <c r="AS73" s="11">
        <f t="shared" si="34"/>
        <v>49.76632047857639</v>
      </c>
      <c r="AT73" s="11">
        <f t="shared" si="35"/>
        <v>38.845968520766206</v>
      </c>
    </row>
    <row r="74" spans="25:46" x14ac:dyDescent="0.25">
      <c r="Y74" s="11">
        <v>72</v>
      </c>
      <c r="Z74" s="11">
        <f t="shared" si="26"/>
        <v>144.54397707459273</v>
      </c>
      <c r="AA74" s="11" t="str">
        <f t="shared" si="27"/>
        <v>908.196592996384i</v>
      </c>
      <c r="AB74" s="11">
        <f>$T$6/'5. Current Sense Resistor'!$B$11</f>
        <v>100</v>
      </c>
      <c r="AD74" s="11" t="str">
        <f t="shared" si="22"/>
        <v>0.173122665597401-0.373839551391821i</v>
      </c>
      <c r="AE74" s="11" t="str">
        <f t="shared" si="23"/>
        <v>0.999922939751822-0.0162670719739135i</v>
      </c>
      <c r="AF74" s="11" t="str">
        <f t="shared" si="28"/>
        <v>2.50394783699723-5.64608290603317i</v>
      </c>
      <c r="AG74" s="11">
        <f t="shared" si="18"/>
        <v>6.1764072851620684</v>
      </c>
      <c r="AH74" s="11">
        <f t="shared" si="19"/>
        <v>-1.1533742436315624</v>
      </c>
      <c r="AI74" s="11">
        <f t="shared" si="20"/>
        <v>-66.083476359182086</v>
      </c>
      <c r="AJ74" s="11">
        <f t="shared" si="21"/>
        <v>15.814718531094867</v>
      </c>
      <c r="AL74" s="11" t="str">
        <f t="shared" si="24"/>
        <v>0.0263402974483276-0.103051776035283i</v>
      </c>
      <c r="AM74" s="11" t="str">
        <f t="shared" si="25"/>
        <v>0.999752208327342-0.0156538839339474i</v>
      </c>
      <c r="AN74" s="11" t="str">
        <f t="shared" si="29"/>
        <v>-10.2382703365818+42.840044349796i</v>
      </c>
      <c r="AO74" s="11">
        <f t="shared" si="30"/>
        <v>44.046470680151195</v>
      </c>
      <c r="AP74" s="11">
        <f t="shared" si="31"/>
        <v>1.8053845096082508</v>
      </c>
      <c r="AQ74" s="11">
        <f t="shared" si="32"/>
        <v>103.44091279884859</v>
      </c>
      <c r="AR74" s="11">
        <f t="shared" si="33"/>
        <v>32.878222306928819</v>
      </c>
      <c r="AS74" s="11">
        <f t="shared" si="34"/>
        <v>48.692940838023688</v>
      </c>
      <c r="AT74" s="11">
        <f t="shared" si="35"/>
        <v>37.3574364396665</v>
      </c>
    </row>
    <row r="75" spans="25:46" x14ac:dyDescent="0.25">
      <c r="Y75" s="11">
        <v>73</v>
      </c>
      <c r="Z75" s="11">
        <f t="shared" si="26"/>
        <v>154.88166189124806</v>
      </c>
      <c r="AA75" s="11" t="str">
        <f t="shared" si="27"/>
        <v>973.150182346646i</v>
      </c>
      <c r="AB75" s="11">
        <f>$T$6/'5. Current Sense Resistor'!$B$11</f>
        <v>100</v>
      </c>
      <c r="AD75" s="11" t="str">
        <f t="shared" si="22"/>
        <v>0.154609270734645-0.356698793353162i</v>
      </c>
      <c r="AE75" s="11" t="str">
        <f t="shared" si="23"/>
        <v>0.999911523236393-0.017430429002591i</v>
      </c>
      <c r="AF75" s="11" t="str">
        <f t="shared" si="28"/>
        <v>2.22436422666332-5.38726311742103i</v>
      </c>
      <c r="AG75" s="11">
        <f t="shared" si="18"/>
        <v>5.8284131724839536</v>
      </c>
      <c r="AH75" s="11">
        <f t="shared" si="19"/>
        <v>-1.1792247836151495</v>
      </c>
      <c r="AI75" s="11">
        <f t="shared" si="20"/>
        <v>-67.564603198375821</v>
      </c>
      <c r="AJ75" s="11">
        <f t="shared" si="21"/>
        <v>15.311006620948628</v>
      </c>
      <c r="AL75" s="11" t="str">
        <f t="shared" si="24"/>
        <v>0.0249465009917795-0.0963111858298869i</v>
      </c>
      <c r="AM75" s="11" t="str">
        <f t="shared" si="25"/>
        <v>0.999715507652186-0.0167728163381827i</v>
      </c>
      <c r="AN75" s="11" t="str">
        <f t="shared" si="29"/>
        <v>-9.65984887225813+40.0501184648821i</v>
      </c>
      <c r="AO75" s="11">
        <f t="shared" si="30"/>
        <v>41.198600331636953</v>
      </c>
      <c r="AP75" s="11">
        <f t="shared" si="31"/>
        <v>1.8074699866164365</v>
      </c>
      <c r="AQ75" s="11">
        <f t="shared" si="32"/>
        <v>103.56040182968921</v>
      </c>
      <c r="AR75" s="11">
        <f t="shared" si="33"/>
        <v>32.297649233977154</v>
      </c>
      <c r="AS75" s="11">
        <f t="shared" si="34"/>
        <v>47.608655854925786</v>
      </c>
      <c r="AT75" s="11">
        <f t="shared" si="35"/>
        <v>35.995798631313392</v>
      </c>
    </row>
    <row r="76" spans="25:46" x14ac:dyDescent="0.25">
      <c r="Y76" s="11">
        <v>74</v>
      </c>
      <c r="Z76" s="11">
        <f t="shared" si="26"/>
        <v>165.95869074375608</v>
      </c>
      <c r="AA76" s="11" t="str">
        <f t="shared" si="27"/>
        <v>1042.74920727993i</v>
      </c>
      <c r="AB76" s="11">
        <f>$T$6/'5. Current Sense Resistor'!$B$11</f>
        <v>100</v>
      </c>
      <c r="AD76" s="11" t="str">
        <f t="shared" si="22"/>
        <v>0.137795889303794-0.339511311571113i</v>
      </c>
      <c r="AE76" s="11" t="str">
        <f t="shared" si="23"/>
        <v>0.99989841539905-0.0186769763927765i</v>
      </c>
      <c r="AF76" s="11" t="str">
        <f t="shared" si="28"/>
        <v>1.97045360882295-5.12774017757185i</v>
      </c>
      <c r="AG76" s="11">
        <f t="shared" si="18"/>
        <v>5.4933056307844348</v>
      </c>
      <c r="AH76" s="11">
        <f t="shared" si="19"/>
        <v>-1.2039205338999861</v>
      </c>
      <c r="AI76" s="11">
        <f t="shared" si="20"/>
        <v>-68.979565461605958</v>
      </c>
      <c r="AJ76" s="11">
        <f t="shared" si="21"/>
        <v>14.796675250300325</v>
      </c>
      <c r="AL76" s="11" t="str">
        <f t="shared" si="24"/>
        <v>0.0237292996690167-0.0899950330006262i</v>
      </c>
      <c r="AM76" s="11" t="str">
        <f t="shared" si="25"/>
        <v>0.999673372998306-0.0179716307295518i</v>
      </c>
      <c r="AN76" s="11" t="str">
        <f t="shared" si="29"/>
        <v>-9.15465631857201+37.4367249956192i</v>
      </c>
      <c r="AO76" s="11">
        <f t="shared" si="30"/>
        <v>38.539799048630108</v>
      </c>
      <c r="AP76" s="11">
        <f t="shared" si="31"/>
        <v>1.8106265665072485</v>
      </c>
      <c r="AQ76" s="11">
        <f t="shared" si="32"/>
        <v>103.7412605351286</v>
      </c>
      <c r="AR76" s="11">
        <f t="shared" si="33"/>
        <v>31.718188917183387</v>
      </c>
      <c r="AS76" s="11">
        <f t="shared" si="34"/>
        <v>46.514864167483708</v>
      </c>
      <c r="AT76" s="11">
        <f t="shared" si="35"/>
        <v>34.761695073522645</v>
      </c>
    </row>
    <row r="77" spans="25:46" x14ac:dyDescent="0.25">
      <c r="Y77" s="11">
        <v>75</v>
      </c>
      <c r="Z77" s="11">
        <f t="shared" si="26"/>
        <v>177.82794100389225</v>
      </c>
      <c r="AA77" s="11" t="str">
        <f t="shared" si="27"/>
        <v>1117.32590612165i</v>
      </c>
      <c r="AB77" s="11">
        <f>$T$6/'5. Current Sense Resistor'!$B$11</f>
        <v>100</v>
      </c>
      <c r="AD77" s="11" t="str">
        <f t="shared" si="22"/>
        <v>0.122597539621263-0.322435615644301i</v>
      </c>
      <c r="AE77" s="11" t="str">
        <f t="shared" si="23"/>
        <v>0.999883365688576-0.0200126610694885i</v>
      </c>
      <c r="AF77" s="11" t="str">
        <f t="shared" si="28"/>
        <v>1.74093260972966-4.86990802217253i</v>
      </c>
      <c r="AG77" s="11">
        <f t="shared" si="18"/>
        <v>5.1717357333916913</v>
      </c>
      <c r="AH77" s="11">
        <f t="shared" si="19"/>
        <v>-1.2274665149877018</v>
      </c>
      <c r="AI77" s="11">
        <f t="shared" si="20"/>
        <v>-70.328650802426921</v>
      </c>
      <c r="AJ77" s="11">
        <f t="shared" si="21"/>
        <v>14.272726501808464</v>
      </c>
      <c r="AL77" s="11" t="str">
        <f t="shared" si="24"/>
        <v>0.0226666828770056-0.0840796681760524i</v>
      </c>
      <c r="AM77" s="11" t="str">
        <f t="shared" si="25"/>
        <v>0.999625000370598-0.0192560072443048i</v>
      </c>
      <c r="AN77" s="11" t="str">
        <f t="shared" si="29"/>
        <v>-8.71355705854912+34.9900854957013i</v>
      </c>
      <c r="AO77" s="11">
        <f t="shared" si="30"/>
        <v>36.058732085433583</v>
      </c>
      <c r="AP77" s="11">
        <f t="shared" si="31"/>
        <v>1.8148611965487047</v>
      </c>
      <c r="AQ77" s="11">
        <f t="shared" si="32"/>
        <v>103.98388696430334</v>
      </c>
      <c r="AR77" s="11">
        <f t="shared" si="33"/>
        <v>31.140209035647413</v>
      </c>
      <c r="AS77" s="11">
        <f t="shared" si="34"/>
        <v>45.41293553745588</v>
      </c>
      <c r="AT77" s="11">
        <f t="shared" si="35"/>
        <v>33.655236161876417</v>
      </c>
    </row>
    <row r="78" spans="25:46" x14ac:dyDescent="0.25">
      <c r="Y78" s="11">
        <v>76</v>
      </c>
      <c r="Z78" s="11">
        <f t="shared" si="26"/>
        <v>190.54607179632481</v>
      </c>
      <c r="AA78" s="11" t="str">
        <f t="shared" si="27"/>
        <v>1197.23627865145i</v>
      </c>
      <c r="AB78" s="11">
        <f>$T$6/'5. Current Sense Resistor'!$B$11</f>
        <v>100</v>
      </c>
      <c r="AD78" s="11" t="str">
        <f t="shared" si="22"/>
        <v>0.108916959258276-0.305606324312319i</v>
      </c>
      <c r="AE78" s="11" t="str">
        <f t="shared" si="23"/>
        <v>0.999866086441398-0.0214438546348809i</v>
      </c>
      <c r="AF78" s="11" t="str">
        <f t="shared" si="28"/>
        <v>1.53433239463181-4.61579980749525i</v>
      </c>
      <c r="AG78" s="11">
        <f t="shared" si="18"/>
        <v>4.8641323748526588</v>
      </c>
      <c r="AH78" s="11">
        <f t="shared" si="19"/>
        <v>-1.2498780987445739</v>
      </c>
      <c r="AI78" s="11">
        <f t="shared" si="20"/>
        <v>-71.612739963899642</v>
      </c>
      <c r="AJ78" s="11">
        <f t="shared" si="21"/>
        <v>13.740107710514661</v>
      </c>
      <c r="AL78" s="11" t="str">
        <f t="shared" si="24"/>
        <v>0.0217392958257772-0.0785421695827646i</v>
      </c>
      <c r="AM78" s="11" t="str">
        <f t="shared" si="25"/>
        <v>0.999569466998942-0.0206320246769759i</v>
      </c>
      <c r="AN78" s="11" t="str">
        <f t="shared" si="29"/>
        <v>-8.32851655283995+32.7007256359026i</v>
      </c>
      <c r="AO78" s="11">
        <f t="shared" si="30"/>
        <v>33.744653577796683</v>
      </c>
      <c r="AP78" s="11">
        <f t="shared" si="31"/>
        <v>1.8201833155634519</v>
      </c>
      <c r="AQ78" s="11">
        <f t="shared" si="32"/>
        <v>104.28882192191469</v>
      </c>
      <c r="AR78" s="11">
        <f t="shared" si="33"/>
        <v>30.564099480768444</v>
      </c>
      <c r="AS78" s="11">
        <f t="shared" si="34"/>
        <v>44.304207191283105</v>
      </c>
      <c r="AT78" s="11">
        <f t="shared" si="35"/>
        <v>32.676081958015047</v>
      </c>
    </row>
    <row r="79" spans="25:46" x14ac:dyDescent="0.25">
      <c r="Y79" s="11">
        <v>77</v>
      </c>
      <c r="Z79" s="11">
        <f t="shared" si="26"/>
        <v>204.17379446695278</v>
      </c>
      <c r="AA79" s="11" t="str">
        <f t="shared" si="27"/>
        <v>1282.86178550586i</v>
      </c>
      <c r="AB79" s="11">
        <f>$T$6/'5. Current Sense Resistor'!$B$11</f>
        <v>100</v>
      </c>
      <c r="AD79" s="11" t="str">
        <f t="shared" si="22"/>
        <v>0.0966492898505583-0.289134922133827i</v>
      </c>
      <c r="AE79" s="11" t="str">
        <f t="shared" si="23"/>
        <v>0.999846247385715-0.0229773835928632i</v>
      </c>
      <c r="AF79" s="11" t="str">
        <f t="shared" si="28"/>
        <v>1.34906941605946-4.36709933839437i</v>
      </c>
      <c r="AG79" s="11">
        <f t="shared" si="18"/>
        <v>4.5707269575803311</v>
      </c>
      <c r="AH79" s="11">
        <f t="shared" si="19"/>
        <v>-1.2711793861040601</v>
      </c>
      <c r="AI79" s="11">
        <f t="shared" si="20"/>
        <v>-72.833213827793571</v>
      </c>
      <c r="AJ79" s="11">
        <f t="shared" si="21"/>
        <v>13.199705570577862</v>
      </c>
      <c r="AL79" s="11" t="str">
        <f t="shared" si="24"/>
        <v>0.0209301402989983-0.0733604465409469i</v>
      </c>
      <c r="AM79" s="11" t="str">
        <f t="shared" si="25"/>
        <v>0.999505713849241-0.0221061872507284i</v>
      </c>
      <c r="AN79" s="11" t="str">
        <f t="shared" si="29"/>
        <v>-7.99247710138269+30.5595182916619i</v>
      </c>
      <c r="AO79" s="11">
        <f t="shared" si="30"/>
        <v>31.587400153139299</v>
      </c>
      <c r="AP79" s="11">
        <f t="shared" si="31"/>
        <v>1.826604514747838</v>
      </c>
      <c r="AQ79" s="11">
        <f t="shared" si="32"/>
        <v>104.65672953459284</v>
      </c>
      <c r="AR79" s="11">
        <f t="shared" si="33"/>
        <v>29.990277642756226</v>
      </c>
      <c r="AS79" s="11">
        <f t="shared" si="34"/>
        <v>43.189983213334088</v>
      </c>
      <c r="AT79" s="11">
        <f t="shared" si="35"/>
        <v>31.82351570679927</v>
      </c>
    </row>
    <row r="80" spans="25:46" x14ac:dyDescent="0.25">
      <c r="Y80" s="11">
        <v>78</v>
      </c>
      <c r="Z80" s="11">
        <f t="shared" si="26"/>
        <v>218.77616239495524</v>
      </c>
      <c r="AA80" s="11" t="str">
        <f t="shared" si="27"/>
        <v>1374.61116912112i</v>
      </c>
      <c r="AB80" s="11">
        <f>$T$6/'5. Current Sense Resistor'!$B$11</f>
        <v>100</v>
      </c>
      <c r="AD80" s="11" t="str">
        <f t="shared" si="22"/>
        <v>0.0856860419201721-0.273111199134712i</v>
      </c>
      <c r="AE80" s="11" t="str">
        <f t="shared" si="23"/>
        <v>0.999823469332173-0.0246205617012978i</v>
      </c>
      <c r="AF80" s="11" t="str">
        <f t="shared" si="28"/>
        <v>1.18350528906355-4.12516281035657i</v>
      </c>
      <c r="AG80" s="11">
        <f t="shared" si="18"/>
        <v>4.2915793108353846</v>
      </c>
      <c r="AH80" s="11">
        <f t="shared" si="19"/>
        <v>-1.2914016633237273</v>
      </c>
      <c r="AI80" s="11">
        <f t="shared" si="20"/>
        <v>-73.991864964624057</v>
      </c>
      <c r="AJ80" s="11">
        <f t="shared" si="21"/>
        <v>12.65234285890074</v>
      </c>
      <c r="AL80" s="11" t="str">
        <f t="shared" si="24"/>
        <v>0.0202243038870912-0.0685133096505935i</v>
      </c>
      <c r="AM80" s="11" t="str">
        <f t="shared" si="25"/>
        <v>0.999432525577691-0.0236854529030673i</v>
      </c>
      <c r="AN80" s="11" t="str">
        <f t="shared" si="29"/>
        <v>-7.69924540221866+28.557712821056i</v>
      </c>
      <c r="AO80" s="11">
        <f t="shared" si="30"/>
        <v>29.577378878688549</v>
      </c>
      <c r="AP80" s="11">
        <f t="shared" si="31"/>
        <v>1.8341381106446892</v>
      </c>
      <c r="AQ80" s="11">
        <f t="shared" si="32"/>
        <v>105.08837278403951</v>
      </c>
      <c r="AR80" s="11">
        <f t="shared" si="33"/>
        <v>29.419193691419125</v>
      </c>
      <c r="AS80" s="11">
        <f t="shared" si="34"/>
        <v>42.071536550319863</v>
      </c>
      <c r="AT80" s="11">
        <f t="shared" si="35"/>
        <v>31.09650781941545</v>
      </c>
    </row>
    <row r="81" spans="25:46" x14ac:dyDescent="0.25">
      <c r="Y81" s="11">
        <v>79</v>
      </c>
      <c r="Z81" s="11">
        <f t="shared" si="26"/>
        <v>234.42288153199212</v>
      </c>
      <c r="AA81" s="11" t="str">
        <f t="shared" si="27"/>
        <v>1472.92240490851i</v>
      </c>
      <c r="AB81" s="11">
        <f>$T$6/'5. Current Sense Resistor'!$B$11</f>
        <v>100</v>
      </c>
      <c r="AD81" s="11" t="str">
        <f t="shared" si="22"/>
        <v>0.0759183218484988-0.257605136751575i</v>
      </c>
      <c r="AE81" s="11" t="str">
        <f t="shared" si="23"/>
        <v>0.999797316930818-0.0263812245960951i</v>
      </c>
      <c r="AF81" s="11" t="str">
        <f t="shared" si="28"/>
        <v>1.03599552367245-3.89104729142408i</v>
      </c>
      <c r="AG81" s="11">
        <f t="shared" si="18"/>
        <v>4.0266035003670302</v>
      </c>
      <c r="AH81" s="11">
        <f t="shared" si="19"/>
        <v>-1.3105819758268846</v>
      </c>
      <c r="AI81" s="11">
        <f t="shared" si="20"/>
        <v>-75.09081592079697</v>
      </c>
      <c r="AJ81" s="11">
        <f t="shared" si="21"/>
        <v>12.098777334733452</v>
      </c>
      <c r="AL81" s="11" t="str">
        <f t="shared" si="24"/>
        <v>0.0196087163499592-0.0639805142483684i</v>
      </c>
      <c r="AM81" s="11" t="str">
        <f t="shared" si="25"/>
        <v>0.999348507560375-0.0253772631040871i</v>
      </c>
      <c r="AN81" s="11" t="str">
        <f t="shared" si="29"/>
        <v>-7.44339134824504+26.6869532629268i</v>
      </c>
      <c r="AO81" s="11">
        <f t="shared" si="30"/>
        <v>27.705550873800878</v>
      </c>
      <c r="AP81" s="11">
        <f t="shared" si="31"/>
        <v>1.8427986188392831</v>
      </c>
      <c r="AQ81" s="11">
        <f t="shared" si="32"/>
        <v>105.5845833520282</v>
      </c>
      <c r="AR81" s="11">
        <f t="shared" si="33"/>
        <v>28.851335794537466</v>
      </c>
      <c r="AS81" s="11">
        <f t="shared" si="34"/>
        <v>40.950113129270918</v>
      </c>
      <c r="AT81" s="11">
        <f t="shared" si="35"/>
        <v>30.493767431231234</v>
      </c>
    </row>
    <row r="82" spans="25:46" x14ac:dyDescent="0.25">
      <c r="Y82" s="11">
        <v>80</v>
      </c>
      <c r="Z82" s="11">
        <f t="shared" si="26"/>
        <v>251.18864315095806</v>
      </c>
      <c r="AA82" s="11" t="str">
        <f t="shared" si="27"/>
        <v>1578.26479197648i</v>
      </c>
      <c r="AB82" s="11">
        <f>$T$6/'5. Current Sense Resistor'!$B$11</f>
        <v>100</v>
      </c>
      <c r="AD82" s="11" t="str">
        <f t="shared" si="22"/>
        <v>0.0672393542004245-0.242669040904503i</v>
      </c>
      <c r="AE82" s="11" t="str">
        <f t="shared" si="23"/>
        <v>0.999767290356324-0.0282677668400505i</v>
      </c>
      <c r="AF82" s="11" t="str">
        <f t="shared" si="28"/>
        <v>0.904927615937889-3.66554293625493i</v>
      </c>
      <c r="AG82" s="11">
        <f t="shared" si="18"/>
        <v>3.775592537286756</v>
      </c>
      <c r="AH82" s="11">
        <f t="shared" si="19"/>
        <v>-1.3287618435060553</v>
      </c>
      <c r="AI82" s="11">
        <f t="shared" si="20"/>
        <v>-76.132445610919746</v>
      </c>
      <c r="AJ82" s="11">
        <f t="shared" si="21"/>
        <v>11.53970238012489</v>
      </c>
      <c r="AL82" s="11" t="str">
        <f t="shared" si="24"/>
        <v>0.0190719314156881-0.0597427826249308i</v>
      </c>
      <c r="AM82" s="11" t="str">
        <f t="shared" si="25"/>
        <v>0.999252059579172-0.0271895742049549i</v>
      </c>
      <c r="AN82" s="11" t="str">
        <f t="shared" si="29"/>
        <v>-7.22015735691645+24.9392877325917i</v>
      </c>
      <c r="AO82" s="11">
        <f t="shared" si="30"/>
        <v>25.963411656938185</v>
      </c>
      <c r="AP82" s="11">
        <f t="shared" si="31"/>
        <v>1.852601115907907</v>
      </c>
      <c r="AQ82" s="11">
        <f t="shared" si="32"/>
        <v>106.14622506274972</v>
      </c>
      <c r="AR82" s="11">
        <f t="shared" si="33"/>
        <v>28.287235185086644</v>
      </c>
      <c r="AS82" s="11">
        <f t="shared" si="34"/>
        <v>39.826937565211537</v>
      </c>
      <c r="AT82" s="11">
        <f t="shared" si="35"/>
        <v>30.013779451829976</v>
      </c>
    </row>
    <row r="83" spans="25:46" x14ac:dyDescent="0.25">
      <c r="Y83" s="11">
        <v>81</v>
      </c>
      <c r="Z83" s="11">
        <f t="shared" si="26"/>
        <v>269.15348039269156</v>
      </c>
      <c r="AA83" s="11" t="str">
        <f t="shared" si="27"/>
        <v>1691.14119337961i</v>
      </c>
      <c r="AB83" s="11">
        <f>$T$6/'5. Current Sense Resistor'!$B$11</f>
        <v>100</v>
      </c>
      <c r="AD83" s="11" t="str">
        <f t="shared" si="22"/>
        <v>0.0595463654181829-0.228339764317197i</v>
      </c>
      <c r="AE83" s="11" t="str">
        <f t="shared" si="23"/>
        <v>0.999732815763148-0.0302891815579718i</v>
      </c>
      <c r="AF83" s="11" t="str">
        <f t="shared" si="28"/>
        <v>0.788749494554185-3.44920654804364i</v>
      </c>
      <c r="AG83" s="11">
        <f t="shared" si="18"/>
        <v>3.5382413111921305</v>
      </c>
      <c r="AH83" s="11">
        <f t="shared" si="19"/>
        <v>-1.3459861289804889</v>
      </c>
      <c r="AI83" s="11">
        <f t="shared" si="20"/>
        <v>-77.119324473733272</v>
      </c>
      <c r="AJ83" s="11">
        <f t="shared" si="21"/>
        <v>10.975748977044193</v>
      </c>
      <c r="AL83" s="11" t="str">
        <f t="shared" si="24"/>
        <v>0.0186039321298846-0.055781809551412i</v>
      </c>
      <c r="AM83" s="11" t="str">
        <f t="shared" si="25"/>
        <v>0.99914134568747-0.0291308902888087i</v>
      </c>
      <c r="AN83" s="11" t="str">
        <f t="shared" si="29"/>
        <v>-7.02537744804888+23.3071709019817i</v>
      </c>
      <c r="AO83" s="11">
        <f t="shared" si="30"/>
        <v>24.342969082298406</v>
      </c>
      <c r="AP83" s="11">
        <f t="shared" si="31"/>
        <v>1.8635604768004055</v>
      </c>
      <c r="AQ83" s="11">
        <f t="shared" si="32"/>
        <v>106.7741501880506</v>
      </c>
      <c r="AR83" s="11">
        <f t="shared" si="33"/>
        <v>27.727470949876505</v>
      </c>
      <c r="AS83" s="11">
        <f t="shared" si="34"/>
        <v>38.703219926920696</v>
      </c>
      <c r="AT83" s="11">
        <f t="shared" si="35"/>
        <v>29.654825714317326</v>
      </c>
    </row>
    <row r="84" spans="25:46" x14ac:dyDescent="0.25">
      <c r="Y84" s="11">
        <v>82</v>
      </c>
      <c r="Z84" s="11">
        <f t="shared" si="26"/>
        <v>288.4031503126605</v>
      </c>
      <c r="AA84" s="11" t="str">
        <f t="shared" si="27"/>
        <v>1812.09043658881i</v>
      </c>
      <c r="AB84" s="11">
        <f>$T$6/'5. Current Sense Resistor'!$B$11</f>
        <v>100</v>
      </c>
      <c r="AD84" s="11" t="str">
        <f t="shared" si="22"/>
        <v>0.0527419126076449-0.214640900195382i</v>
      </c>
      <c r="AE84" s="11" t="str">
        <f t="shared" si="23"/>
        <v>0.999693234328941-0.0324551028284836i</v>
      </c>
      <c r="AF84" s="11" t="str">
        <f t="shared" si="28"/>
        <v>0.685989587399167-3.24239470798504i</v>
      </c>
      <c r="AG84" s="11">
        <f t="shared" si="18"/>
        <v>3.3141673398290363</v>
      </c>
      <c r="AH84" s="11">
        <f t="shared" si="19"/>
        <v>-1.3623020607566505</v>
      </c>
      <c r="AI84" s="11">
        <f t="shared" si="20"/>
        <v>-78.054158503330726</v>
      </c>
      <c r="AJ84" s="11">
        <f t="shared" si="21"/>
        <v>10.407488663015576</v>
      </c>
      <c r="AL84" s="11" t="str">
        <f t="shared" si="24"/>
        <v>0.0181959577937744-0.0520802548596673i</v>
      </c>
      <c r="AM84" s="11" t="str">
        <f t="shared" si="25"/>
        <v>0.999014259714468-0.0312102974632575i</v>
      </c>
      <c r="AN84" s="11" t="str">
        <f t="shared" si="29"/>
        <v>-6.85540525275844+21.7834611173099i</v>
      </c>
      <c r="AO84" s="11">
        <f t="shared" si="30"/>
        <v>22.836719541757752</v>
      </c>
      <c r="AP84" s="11">
        <f t="shared" si="31"/>
        <v>1.8756904754704913</v>
      </c>
      <c r="AQ84" s="11">
        <f t="shared" si="32"/>
        <v>107.46914791734581</v>
      </c>
      <c r="AR84" s="11">
        <f t="shared" si="33"/>
        <v>27.172674366927453</v>
      </c>
      <c r="AS84" s="11">
        <f t="shared" si="34"/>
        <v>37.58016302994303</v>
      </c>
      <c r="AT84" s="11">
        <f t="shared" si="35"/>
        <v>29.414989414015082</v>
      </c>
    </row>
    <row r="85" spans="25:46" x14ac:dyDescent="0.25">
      <c r="Y85" s="11">
        <v>83</v>
      </c>
      <c r="Z85" s="11">
        <f t="shared" si="26"/>
        <v>309.02954325135909</v>
      </c>
      <c r="AA85" s="11" t="str">
        <f t="shared" si="27"/>
        <v>1941.68988564136i</v>
      </c>
      <c r="AB85" s="11">
        <f>$T$6/'5. Current Sense Resistor'!$B$11</f>
        <v>100</v>
      </c>
      <c r="AD85" s="11" t="str">
        <f t="shared" si="22"/>
        <v>0.0467347473409396-0.201584865000381i</v>
      </c>
      <c r="AE85" s="11" t="str">
        <f t="shared" si="23"/>
        <v>0.99964778967781-0.0347758510117151i</v>
      </c>
      <c r="AF85" s="11" t="str">
        <f t="shared" si="28"/>
        <v>0.595269865991068-3.04529522997566i</v>
      </c>
      <c r="AG85" s="11">
        <f t="shared" si="18"/>
        <v>3.1029291405169945</v>
      </c>
      <c r="AH85" s="11">
        <f t="shared" si="19"/>
        <v>-1.3777584063323227</v>
      </c>
      <c r="AI85" s="11">
        <f t="shared" si="20"/>
        <v>-78.939741871512453</v>
      </c>
      <c r="AJ85" s="11">
        <f t="shared" si="21"/>
        <v>9.8354371601922512</v>
      </c>
      <c r="AL85" s="11" t="str">
        <f t="shared" si="24"/>
        <v>0.0178403505339508-0.0486217261401742i</v>
      </c>
      <c r="AM85" s="11" t="str">
        <f t="shared" si="25"/>
        <v>0.998868385794534-0.0334374994913968i</v>
      </c>
      <c r="AN85" s="11" t="str">
        <f t="shared" si="29"/>
        <v>-6.70705013813261+20.3614134247149i</v>
      </c>
      <c r="AO85" s="11">
        <f t="shared" si="30"/>
        <v>21.437622960757214</v>
      </c>
      <c r="AP85" s="11">
        <f t="shared" si="31"/>
        <v>1.8890027385313524</v>
      </c>
      <c r="AQ85" s="11">
        <f t="shared" si="32"/>
        <v>108.23188440650107</v>
      </c>
      <c r="AR85" s="11">
        <f t="shared" si="33"/>
        <v>26.623532567935349</v>
      </c>
      <c r="AS85" s="11">
        <f t="shared" si="34"/>
        <v>36.458969728127599</v>
      </c>
      <c r="AT85" s="11">
        <f t="shared" si="35"/>
        <v>29.292142534988614</v>
      </c>
    </row>
    <row r="86" spans="25:46" x14ac:dyDescent="0.25">
      <c r="Y86" s="11">
        <v>84</v>
      </c>
      <c r="Z86" s="11">
        <f t="shared" si="26"/>
        <v>331.13112148259108</v>
      </c>
      <c r="AA86" s="11" t="str">
        <f t="shared" si="27"/>
        <v>2080.55819724932i</v>
      </c>
      <c r="AB86" s="11">
        <f>$T$6/'5. Current Sense Resistor'!$B$11</f>
        <v>100</v>
      </c>
      <c r="AD86" s="11" t="str">
        <f t="shared" si="22"/>
        <v>0.0414403025545868-0.189174817825651i</v>
      </c>
      <c r="AE86" s="11" t="str">
        <f t="shared" si="23"/>
        <v>0.999595613444383-0.0372624812007759i</v>
      </c>
      <c r="AF86" s="11" t="str">
        <f t="shared" si="28"/>
        <v>0.515313197996681-2.85795614783814i</v>
      </c>
      <c r="AG86" s="11">
        <f t="shared" si="18"/>
        <v>2.9040421889145116</v>
      </c>
      <c r="AH86" s="11">
        <f t="shared" si="19"/>
        <v>-1.3924047856491086</v>
      </c>
      <c r="AI86" s="11">
        <f t="shared" si="20"/>
        <v>-79.778917591511984</v>
      </c>
      <c r="AJ86" s="11">
        <f t="shared" si="21"/>
        <v>9.2600584270602848</v>
      </c>
      <c r="AL86" s="11" t="str">
        <f t="shared" si="24"/>
        <v>0.0175304196069171-0.0453907540493463i</v>
      </c>
      <c r="AM86" s="11" t="str">
        <f t="shared" si="25"/>
        <v>0.998700953227428-0.0358228546045898i</v>
      </c>
      <c r="AN86" s="11" t="str">
        <f t="shared" si="29"/>
        <v>-6.57752065676704+19.0346695366903i</v>
      </c>
      <c r="AO86" s="11">
        <f t="shared" si="30"/>
        <v>20.139076998740606</v>
      </c>
      <c r="AP86" s="11">
        <f t="shared" si="31"/>
        <v>1.9035055454109358</v>
      </c>
      <c r="AQ86" s="11">
        <f t="shared" si="32"/>
        <v>109.06283403179448</v>
      </c>
      <c r="AR86" s="11">
        <f t="shared" si="33"/>
        <v>26.080791247351534</v>
      </c>
      <c r="AS86" s="11">
        <f t="shared" si="34"/>
        <v>35.340849674411821</v>
      </c>
      <c r="AT86" s="11">
        <f t="shared" si="35"/>
        <v>29.283916440282496</v>
      </c>
    </row>
    <row r="87" spans="25:46" x14ac:dyDescent="0.25">
      <c r="Y87" s="11">
        <v>85</v>
      </c>
      <c r="Z87" s="11">
        <f t="shared" si="26"/>
        <v>354.81338923357566</v>
      </c>
      <c r="AA87" s="11" t="str">
        <f t="shared" si="27"/>
        <v>2229.35827402299i</v>
      </c>
      <c r="AB87" s="11">
        <f>$T$6/'5. Current Sense Resistor'!$B$11</f>
        <v>100</v>
      </c>
      <c r="AD87" s="11" t="str">
        <f t="shared" si="22"/>
        <v>0.0367808836886134-0.177406387445695i</v>
      </c>
      <c r="AE87" s="11" t="str">
        <f t="shared" si="23"/>
        <v>0.999535708704555-0.0399268349932946i</v>
      </c>
      <c r="AF87" s="11" t="str">
        <f t="shared" si="28"/>
        <v>0.444946233214297-2.68031179817393i</v>
      </c>
      <c r="AG87" s="11">
        <f t="shared" si="18"/>
        <v>2.7169925443184342</v>
      </c>
      <c r="AH87" s="11">
        <f t="shared" si="19"/>
        <v>-1.4062911125108968</v>
      </c>
      <c r="AI87" s="11">
        <f t="shared" si="20"/>
        <v>-80.574545513631591</v>
      </c>
      <c r="AJ87" s="11">
        <f t="shared" si="21"/>
        <v>8.6817689334972652</v>
      </c>
      <c r="AL87" s="11" t="str">
        <f t="shared" si="24"/>
        <v>0.0172603216378676-0.0423727622403767i</v>
      </c>
      <c r="AM87" s="11" t="str">
        <f t="shared" si="25"/>
        <v>0.99850878488587-0.0383774132725742i</v>
      </c>
      <c r="AN87" s="11" t="str">
        <f t="shared" si="29"/>
        <v>-6.46437456974138+17.7972455735661i</v>
      </c>
      <c r="AO87" s="11">
        <f t="shared" si="30"/>
        <v>18.934890772955026</v>
      </c>
      <c r="AP87" s="11">
        <f t="shared" si="31"/>
        <v>1.9192024743337361</v>
      </c>
      <c r="AQ87" s="11">
        <f t="shared" si="32"/>
        <v>109.96220181038778</v>
      </c>
      <c r="AR87" s="11">
        <f t="shared" si="33"/>
        <v>25.545256084209804</v>
      </c>
      <c r="AS87" s="11">
        <f t="shared" si="34"/>
        <v>34.227025017707071</v>
      </c>
      <c r="AT87" s="11">
        <f t="shared" si="35"/>
        <v>29.387656296756191</v>
      </c>
    </row>
    <row r="88" spans="25:46" x14ac:dyDescent="0.25">
      <c r="Y88" s="11">
        <v>86</v>
      </c>
      <c r="Z88" s="11">
        <f t="shared" si="26"/>
        <v>380.18939632056095</v>
      </c>
      <c r="AA88" s="11" t="str">
        <f t="shared" si="27"/>
        <v>2388.80042890683i</v>
      </c>
      <c r="AB88" s="11">
        <f>$T$6/'5. Current Sense Resistor'!$B$11</f>
        <v>100</v>
      </c>
      <c r="AD88" s="11" t="str">
        <f t="shared" si="22"/>
        <v>0.0326856355115331-0.16626919582343i</v>
      </c>
      <c r="AE88" s="11" t="str">
        <f t="shared" si="23"/>
        <v>0.999466930958541-0.0427815957870879i</v>
      </c>
      <c r="AF88" s="11" t="str">
        <f t="shared" si="28"/>
        <v>0.38309890195842-2.5122058295013i</v>
      </c>
      <c r="AG88" s="11">
        <f t="shared" si="18"/>
        <v>2.5412482953190669</v>
      </c>
      <c r="AH88" s="11">
        <f t="shared" si="19"/>
        <v>-1.4194671502258895</v>
      </c>
      <c r="AI88" s="11">
        <f t="shared" si="20"/>
        <v>-81.329476865405866</v>
      </c>
      <c r="AJ88" s="11">
        <f t="shared" si="21"/>
        <v>8.1009420063895163</v>
      </c>
      <c r="AL88" s="11" t="str">
        <f t="shared" si="24"/>
        <v>0.0170249551111522-0.0395540335352612i</v>
      </c>
      <c r="AM88" s="11" t="str">
        <f t="shared" si="25"/>
        <v>0.998288238288516-0.0411129566215926i</v>
      </c>
      <c r="AN88" s="11" t="str">
        <f t="shared" si="29"/>
        <v>-6.3654747399977+16.6435182493541i</v>
      </c>
      <c r="AO88" s="11">
        <f t="shared" si="30"/>
        <v>17.819258356680606</v>
      </c>
      <c r="AP88" s="11">
        <f t="shared" si="31"/>
        <v>1.9360909018538397</v>
      </c>
      <c r="AQ88" s="11">
        <f t="shared" si="32"/>
        <v>110.92983742990231</v>
      </c>
      <c r="AR88" s="11">
        <f t="shared" si="33"/>
        <v>25.017792491992608</v>
      </c>
      <c r="AS88" s="11">
        <f t="shared" si="34"/>
        <v>33.118734498382125</v>
      </c>
      <c r="AT88" s="11">
        <f t="shared" si="35"/>
        <v>29.600360564496441</v>
      </c>
    </row>
    <row r="89" spans="25:46" x14ac:dyDescent="0.25">
      <c r="Y89" s="11">
        <v>87</v>
      </c>
      <c r="Z89" s="11">
        <f t="shared" si="26"/>
        <v>407.38027780411232</v>
      </c>
      <c r="AA89" s="11" t="str">
        <f t="shared" si="27"/>
        <v>2559.64577593354i</v>
      </c>
      <c r="AB89" s="11">
        <f>$T$6/'5. Current Sense Resistor'!$B$11</f>
        <v>100</v>
      </c>
      <c r="AD89" s="11" t="str">
        <f t="shared" si="22"/>
        <v>0.0290903453006651-0.155748179487314i</v>
      </c>
      <c r="AE89" s="11" t="str">
        <f t="shared" si="23"/>
        <v>0.999387966305903-0.0458403478109655i</v>
      </c>
      <c r="AF89" s="11" t="str">
        <f t="shared" si="28"/>
        <v>0.328801442045208-2.35341115899766i</v>
      </c>
      <c r="AG89" s="11">
        <f t="shared" si="18"/>
        <v>2.3762690234032253</v>
      </c>
      <c r="AH89" s="11">
        <f t="shared" si="19"/>
        <v>-1.4319821674159545</v>
      </c>
      <c r="AI89" s="11">
        <f t="shared" si="20"/>
        <v>-82.046534530930273</v>
      </c>
      <c r="AJ89" s="11">
        <f t="shared" si="21"/>
        <v>7.5179121333014702</v>
      </c>
      <c r="AL89" s="11" t="str">
        <f t="shared" si="24"/>
        <v>0.0168198675590807-0.0369216736281825i</v>
      </c>
      <c r="AM89" s="11" t="str">
        <f t="shared" si="25"/>
        <v>0.998035138348986-0.0440420350854231i</v>
      </c>
      <c r="AN89" s="11" t="str">
        <f t="shared" si="29"/>
        <v>-6.2789502460753+15.5682100348162i</v>
      </c>
      <c r="AO89" s="11">
        <f t="shared" si="30"/>
        <v>16.786732257376386</v>
      </c>
      <c r="AP89" s="11">
        <f t="shared" si="31"/>
        <v>1.9541603748828427</v>
      </c>
      <c r="AQ89" s="11">
        <f t="shared" si="32"/>
        <v>111.96514197248966</v>
      </c>
      <c r="AR89" s="11">
        <f t="shared" si="33"/>
        <v>24.499323272719966</v>
      </c>
      <c r="AS89" s="11">
        <f t="shared" si="34"/>
        <v>32.017235406021435</v>
      </c>
      <c r="AT89" s="11">
        <f t="shared" si="35"/>
        <v>29.918607441559388</v>
      </c>
    </row>
    <row r="90" spans="25:46" x14ac:dyDescent="0.25">
      <c r="Y90" s="11">
        <v>88</v>
      </c>
      <c r="Z90" s="11">
        <f t="shared" si="26"/>
        <v>436.51583224016542</v>
      </c>
      <c r="AA90" s="11" t="str">
        <f t="shared" si="27"/>
        <v>2742.70986348268i</v>
      </c>
      <c r="AB90" s="11">
        <f>$T$6/'5. Current Sense Resistor'!$B$11</f>
        <v>100</v>
      </c>
      <c r="AD90" s="11" t="str">
        <f t="shared" si="22"/>
        <v>0.0259371323390013-0.145824718630786i</v>
      </c>
      <c r="AE90" s="11" t="str">
        <f t="shared" si="23"/>
        <v>0.999297306399472-0.0491176391073461i</v>
      </c>
      <c r="AF90" s="11" t="str">
        <f t="shared" si="28"/>
        <v>0.281179708863058-2.20364702564242i</v>
      </c>
      <c r="AG90" s="11">
        <f t="shared" si="18"/>
        <v>2.2215135026146022</v>
      </c>
      <c r="AH90" s="11">
        <f t="shared" si="19"/>
        <v>-1.4438846803472931</v>
      </c>
      <c r="AI90" s="11">
        <f t="shared" si="20"/>
        <v>-82.728498287495853</v>
      </c>
      <c r="AJ90" s="11">
        <f t="shared" si="21"/>
        <v>6.9329791455345671</v>
      </c>
      <c r="AL90" s="11" t="str">
        <f t="shared" si="24"/>
        <v>0.0166411740287255-0.0344635733413153i</v>
      </c>
      <c r="AM90" s="11" t="str">
        <f t="shared" si="25"/>
        <v>0.997744700695386-0.0471780067428762i</v>
      </c>
      <c r="AN90" s="11" t="str">
        <f t="shared" si="29"/>
        <v>-6.20316212066745+14.5663737182184i</v>
      </c>
      <c r="AO90" s="11">
        <f t="shared" si="30"/>
        <v>15.832197055181165</v>
      </c>
      <c r="AP90" s="11">
        <f t="shared" si="31"/>
        <v>1.9733908882427029</v>
      </c>
      <c r="AQ90" s="11">
        <f t="shared" si="32"/>
        <v>113.06696922587959</v>
      </c>
      <c r="AR90" s="11">
        <f t="shared" si="33"/>
        <v>23.990823733422609</v>
      </c>
      <c r="AS90" s="11">
        <f t="shared" si="34"/>
        <v>30.923802878957176</v>
      </c>
      <c r="AT90" s="11">
        <f t="shared" si="35"/>
        <v>30.338470938383736</v>
      </c>
    </row>
    <row r="91" spans="25:46" x14ac:dyDescent="0.25">
      <c r="Y91" s="11">
        <v>89</v>
      </c>
      <c r="Z91" s="11">
        <f t="shared" si="26"/>
        <v>467.73514128719791</v>
      </c>
      <c r="AA91" s="11" t="str">
        <f t="shared" si="27"/>
        <v>2938.86656738729i</v>
      </c>
      <c r="AB91" s="11">
        <f>$T$6/'5. Current Sense Resistor'!$B$11</f>
        <v>100</v>
      </c>
      <c r="AD91" s="11" t="str">
        <f t="shared" si="22"/>
        <v>0.0231740637504886-0.136477588951799i</v>
      </c>
      <c r="AE91" s="11" t="str">
        <f t="shared" si="23"/>
        <v>0.999193219704938-0.0526290486872703i</v>
      </c>
      <c r="AF91" s="11" t="str">
        <f t="shared" si="28"/>
        <v>0.23944937291019-2.0625933665602i</v>
      </c>
      <c r="AG91" s="11">
        <f t="shared" si="18"/>
        <v>2.076445857219789</v>
      </c>
      <c r="AH91" s="11">
        <f t="shared" si="19"/>
        <v>-1.4552222690114511</v>
      </c>
      <c r="AI91" s="11">
        <f t="shared" si="20"/>
        <v>-83.378094267807469</v>
      </c>
      <c r="AJ91" s="11">
        <f t="shared" si="21"/>
        <v>6.346412229580233</v>
      </c>
      <c r="AL91" s="11" t="str">
        <f t="shared" si="24"/>
        <v>0.0164854855379826-0.0321683702338885i</v>
      </c>
      <c r="AM91" s="11" t="str">
        <f t="shared" si="25"/>
        <v>0.997411444330813-0.0505350746330737i</v>
      </c>
      <c r="AN91" s="11" t="str">
        <f t="shared" si="29"/>
        <v>-6.13667317235323+13.633376691953i</v>
      </c>
      <c r="AO91" s="11">
        <f t="shared" si="30"/>
        <v>14.950843375842286</v>
      </c>
      <c r="AP91" s="11">
        <f t="shared" si="31"/>
        <v>1.9937511174054761</v>
      </c>
      <c r="AQ91" s="11">
        <f t="shared" si="32"/>
        <v>114.23352442682567</v>
      </c>
      <c r="AR91" s="11">
        <f t="shared" si="33"/>
        <v>23.4933138373475</v>
      </c>
      <c r="AS91" s="11">
        <f t="shared" si="34"/>
        <v>29.839726066927732</v>
      </c>
      <c r="AT91" s="11">
        <f t="shared" si="35"/>
        <v>30.855430159018198</v>
      </c>
    </row>
    <row r="92" spans="25:46" x14ac:dyDescent="0.25">
      <c r="Y92" s="11">
        <v>90</v>
      </c>
      <c r="Z92" s="11">
        <f t="shared" si="26"/>
        <v>501.18723362727184</v>
      </c>
      <c r="AA92" s="11" t="str">
        <f t="shared" si="27"/>
        <v>3149.05226247286i</v>
      </c>
      <c r="AB92" s="11">
        <f>$T$6/'5. Current Sense Resistor'!$B$11</f>
        <v>100</v>
      </c>
      <c r="AD92" s="11" t="str">
        <f t="shared" si="22"/>
        <v>0.0207547278988733-0.127683753961783i</v>
      </c>
      <c r="AE92" s="11" t="str">
        <f t="shared" si="23"/>
        <v>0.99907371852389-0.0563912580799516i</v>
      </c>
      <c r="AF92" s="11" t="str">
        <f t="shared" si="28"/>
        <v>0.202909476333553-1.92990278431324i</v>
      </c>
      <c r="AG92" s="11">
        <f t="shared" si="18"/>
        <v>1.9405403918717985</v>
      </c>
      <c r="AH92" s="11">
        <f t="shared" si="19"/>
        <v>-1.4660414553274919</v>
      </c>
      <c r="AI92" s="11">
        <f t="shared" si="20"/>
        <v>-83.997987981482297</v>
      </c>
      <c r="AJ92" s="11">
        <f t="shared" si="21"/>
        <v>5.758453738062479</v>
      </c>
      <c r="AL92" s="11" t="str">
        <f t="shared" si="24"/>
        <v>0.0163498463589143-0.0300254101859176i</v>
      </c>
      <c r="AM92" s="11" t="str">
        <f t="shared" si="25"/>
        <v>0.99702909227522-0.0541283221402711i</v>
      </c>
      <c r="AN92" s="11" t="str">
        <f t="shared" si="29"/>
        <v>-6.07822140070184+12.7648852176331i</v>
      </c>
      <c r="AO92" s="11">
        <f t="shared" si="30"/>
        <v>14.138142382056346</v>
      </c>
      <c r="AP92" s="11">
        <f t="shared" si="31"/>
        <v>2.0151966744195535</v>
      </c>
      <c r="AQ92" s="11">
        <f t="shared" si="32"/>
        <v>115.46226433303947</v>
      </c>
      <c r="AR92" s="11">
        <f t="shared" si="33"/>
        <v>23.007847020589665</v>
      </c>
      <c r="AS92" s="11">
        <f t="shared" si="34"/>
        <v>28.766300758652143</v>
      </c>
      <c r="AT92" s="11">
        <f t="shared" si="35"/>
        <v>31.464276351557174</v>
      </c>
    </row>
    <row r="93" spans="25:46" x14ac:dyDescent="0.25">
      <c r="Y93" s="11">
        <v>91</v>
      </c>
      <c r="Z93" s="11">
        <f t="shared" si="26"/>
        <v>537.03179637025255</v>
      </c>
      <c r="AA93" s="11" t="str">
        <f t="shared" si="27"/>
        <v>3374.27029244183i</v>
      </c>
      <c r="AB93" s="11">
        <f>$T$6/'5. Current Sense Resistor'!$B$11</f>
        <v>100</v>
      </c>
      <c r="AD93" s="11" t="str">
        <f t="shared" si="22"/>
        <v>0.0186377890660933-0.119419016447568i</v>
      </c>
      <c r="AE93" s="11" t="str">
        <f t="shared" si="23"/>
        <v>0.998936521159541-0.0604221274974089i</v>
      </c>
      <c r="AF93" s="11" t="str">
        <f t="shared" si="28"/>
        <v>0.17093570660003-1.80521038730161i</v>
      </c>
      <c r="AG93" s="11">
        <f t="shared" si="18"/>
        <v>1.813285294213925</v>
      </c>
      <c r="AH93" s="11">
        <f t="shared" si="19"/>
        <v>-1.4763876330984407</v>
      </c>
      <c r="AI93" s="11">
        <f t="shared" si="20"/>
        <v>-84.590780301849733</v>
      </c>
      <c r="AJ93" s="11">
        <f t="shared" si="21"/>
        <v>5.1693227885317388</v>
      </c>
      <c r="AL93" s="11" t="str">
        <f t="shared" si="24"/>
        <v>0.0162316790861115-0.0280247094324665i</v>
      </c>
      <c r="AM93" s="11" t="str">
        <f t="shared" si="25"/>
        <v>0.99659045869557-0.0579737452955641i</v>
      </c>
      <c r="AN93" s="11" t="str">
        <f t="shared" si="29"/>
        <v>-6.02669656384862+11.9568488604914i</v>
      </c>
      <c r="AO93" s="11">
        <f t="shared" si="30"/>
        <v>13.389820990040876</v>
      </c>
      <c r="AP93" s="11">
        <f t="shared" si="31"/>
        <v>2.0376684735782109</v>
      </c>
      <c r="AQ93" s="11">
        <f t="shared" si="32"/>
        <v>116.74980358289618</v>
      </c>
      <c r="AR93" s="11">
        <f t="shared" si="33"/>
        <v>22.535495418422215</v>
      </c>
      <c r="AS93" s="11">
        <f t="shared" si="34"/>
        <v>27.704818206953952</v>
      </c>
      <c r="AT93" s="11">
        <f t="shared" si="35"/>
        <v>32.159023281046444</v>
      </c>
    </row>
    <row r="94" spans="25:46" x14ac:dyDescent="0.25">
      <c r="Y94" s="11">
        <v>92</v>
      </c>
      <c r="Z94" s="11">
        <f t="shared" si="26"/>
        <v>575.43993733715661</v>
      </c>
      <c r="AA94" s="11" t="str">
        <f t="shared" si="27"/>
        <v>3615.59575944116i</v>
      </c>
      <c r="AB94" s="11">
        <f>$T$6/'5. Current Sense Resistor'!$B$11</f>
        <v>100</v>
      </c>
      <c r="AD94" s="11" t="str">
        <f t="shared" si="22"/>
        <v>0.0167865409007036-0.111658547527052i</v>
      </c>
      <c r="AE94" s="11" t="str">
        <f t="shared" si="23"/>
        <v>0.998779008514452-0.0647407768290231i</v>
      </c>
      <c r="AF94" s="11" t="str">
        <f t="shared" si="28"/>
        <v>0.142973651412465-1.68814178176374i</v>
      </c>
      <c r="AG94" s="11">
        <f t="shared" si="18"/>
        <v>1.6941853913709291</v>
      </c>
      <c r="AH94" s="11">
        <f t="shared" si="19"/>
        <v>-1.4863050406357645</v>
      </c>
      <c r="AI94" s="11">
        <f t="shared" si="20"/>
        <v>-85.159005897449632</v>
      </c>
      <c r="AJ94" s="11">
        <f t="shared" si="21"/>
        <v>4.5792186516996347</v>
      </c>
      <c r="AL94" s="11" t="str">
        <f t="shared" si="24"/>
        <v>0.0161287365592403-0.0261569174067396i</v>
      </c>
      <c r="AM94" s="11" t="str">
        <f t="shared" si="25"/>
        <v>0.996087320898705-0.0620882805447553i</v>
      </c>
      <c r="AN94" s="11" t="str">
        <f t="shared" si="29"/>
        <v>-5.98111950311068+11.2054852334427i</v>
      </c>
      <c r="AO94" s="11">
        <f t="shared" si="30"/>
        <v>12.701838049171991</v>
      </c>
      <c r="AP94" s="11">
        <f t="shared" si="31"/>
        <v>2.0610913099721708</v>
      </c>
      <c r="AQ94" s="11">
        <f t="shared" si="32"/>
        <v>118.09183325249552</v>
      </c>
      <c r="AR94" s="11">
        <f t="shared" si="33"/>
        <v>22.077331422037922</v>
      </c>
      <c r="AS94" s="11">
        <f t="shared" si="34"/>
        <v>26.656550073737556</v>
      </c>
      <c r="AT94" s="11">
        <f t="shared" si="35"/>
        <v>32.932827355045887</v>
      </c>
    </row>
    <row r="95" spans="25:46" x14ac:dyDescent="0.25">
      <c r="Y95" s="11">
        <v>93</v>
      </c>
      <c r="Z95" s="11">
        <f t="shared" si="26"/>
        <v>616.59500186148216</v>
      </c>
      <c r="AA95" s="11" t="str">
        <f t="shared" si="27"/>
        <v>3874.18065617643i</v>
      </c>
      <c r="AB95" s="11">
        <f>$T$6/'5. Current Sense Resistor'!$B$11</f>
        <v>100</v>
      </c>
      <c r="AD95" s="11" t="str">
        <f t="shared" si="22"/>
        <v>0.0151684710928164-0.104377310732251i</v>
      </c>
      <c r="AE95" s="11" t="str">
        <f t="shared" si="23"/>
        <v>0.99859817430723-0.0693676716698605i</v>
      </c>
      <c r="AF95" s="11" t="str">
        <f t="shared" si="28"/>
        <v>0.118532222957876-1.57831947865963i</v>
      </c>
      <c r="AG95" s="11">
        <f t="shared" si="18"/>
        <v>1.5827641215910038</v>
      </c>
      <c r="AH95" s="11">
        <f t="shared" si="19"/>
        <v>-1.4958367681963667</v>
      </c>
      <c r="AI95" s="11">
        <f t="shared" si="20"/>
        <v>-85.705133658140653</v>
      </c>
      <c r="AJ95" s="11">
        <f t="shared" si="21"/>
        <v>3.9883239406534843</v>
      </c>
      <c r="AL95" s="11" t="str">
        <f t="shared" si="24"/>
        <v>0.016039059811441-0.0244132806557972i</v>
      </c>
      <c r="AM95" s="11" t="str">
        <f t="shared" si="25"/>
        <v>0.995510274435992-0.0664898261698689i</v>
      </c>
      <c r="AN95" s="11" t="str">
        <f t="shared" si="29"/>
        <v>-5.9406238710177+10.507265149898i</v>
      </c>
      <c r="AO95" s="11">
        <f t="shared" si="30"/>
        <v>12.07036175543908</v>
      </c>
      <c r="AP95" s="11">
        <f t="shared" si="31"/>
        <v>2.0853727658621786</v>
      </c>
      <c r="AQ95" s="11">
        <f t="shared" si="32"/>
        <v>119.48305819542603</v>
      </c>
      <c r="AR95" s="11">
        <f t="shared" si="33"/>
        <v>21.634405726779882</v>
      </c>
      <c r="AS95" s="11">
        <f t="shared" si="34"/>
        <v>25.622729667433365</v>
      </c>
      <c r="AT95" s="11">
        <f t="shared" si="35"/>
        <v>33.777924537285372</v>
      </c>
    </row>
    <row r="96" spans="25:46" x14ac:dyDescent="0.25">
      <c r="Y96" s="11">
        <v>94</v>
      </c>
      <c r="Z96" s="11">
        <f t="shared" si="26"/>
        <v>660.69344800759518</v>
      </c>
      <c r="AA96" s="11" t="str">
        <f t="shared" si="27"/>
        <v>4151.25936507114i</v>
      </c>
      <c r="AB96" s="11">
        <f>$T$6/'5. Current Sense Resistor'!$B$11</f>
        <v>100</v>
      </c>
      <c r="AD96" s="11" t="str">
        <f t="shared" si="22"/>
        <v>0.0137548457520282-0.0975503971030452i</v>
      </c>
      <c r="AE96" s="11" t="str">
        <f t="shared" si="23"/>
        <v>0.998390567978402-0.0743247145688024i</v>
      </c>
      <c r="AF96" s="11" t="str">
        <f t="shared" si="28"/>
        <v>0.0971773794665916-1.47536795681627i</v>
      </c>
      <c r="AG96" s="11">
        <f t="shared" si="18"/>
        <v>1.4785648619794161</v>
      </c>
      <c r="AH96" s="11">
        <f t="shared" si="19"/>
        <v>-1.5050247935150405</v>
      </c>
      <c r="AI96" s="11">
        <f t="shared" si="20"/>
        <v>-86.231568730960007</v>
      </c>
      <c r="AJ96" s="11">
        <f t="shared" si="21"/>
        <v>3.3968076199464239</v>
      </c>
      <c r="AL96" s="11" t="str">
        <f t="shared" si="24"/>
        <v>0.0159609413087204-0.0227856080170935i</v>
      </c>
      <c r="AM96" s="11" t="str">
        <f t="shared" si="25"/>
        <v>0.994848569459491-0.0711972551147856i</v>
      </c>
      <c r="AN96" s="11" t="str">
        <f t="shared" si="29"/>
        <v>-5.90443994728658+9.85889825056642i</v>
      </c>
      <c r="AO96" s="11">
        <f t="shared" si="30"/>
        <v>11.491748596542442</v>
      </c>
      <c r="AP96" s="11">
        <f t="shared" si="31"/>
        <v>2.1104025636210881</v>
      </c>
      <c r="AQ96" s="11">
        <f t="shared" si="32"/>
        <v>120.91715996907755</v>
      </c>
      <c r="AR96" s="11">
        <f t="shared" si="33"/>
        <v>21.20772232842285</v>
      </c>
      <c r="AS96" s="11">
        <f t="shared" si="34"/>
        <v>24.604529948369276</v>
      </c>
      <c r="AT96" s="11">
        <f t="shared" si="35"/>
        <v>34.685591238117539</v>
      </c>
    </row>
    <row r="97" spans="25:46" x14ac:dyDescent="0.25">
      <c r="Y97" s="11">
        <v>95</v>
      </c>
      <c r="Z97" s="11">
        <f t="shared" si="26"/>
        <v>707.94578438413748</v>
      </c>
      <c r="AA97" s="11" t="str">
        <f t="shared" si="27"/>
        <v>4448.15455072214i</v>
      </c>
      <c r="AB97" s="11">
        <f>$T$6/'5. Current Sense Resistor'!$B$11</f>
        <v>100</v>
      </c>
      <c r="AD97" s="11" t="str">
        <f t="shared" si="22"/>
        <v>0.0125203188847233-0.0911532856111286i</v>
      </c>
      <c r="AE97" s="11" t="str">
        <f t="shared" si="23"/>
        <v>0.998152229222937-0.0796353416560937i</v>
      </c>
      <c r="AF97" s="11" t="str">
        <f t="shared" si="28"/>
        <v>0.0785262255423854-1.3789175985874i</v>
      </c>
      <c r="AG97" s="11">
        <f t="shared" si="18"/>
        <v>1.3811517338047894</v>
      </c>
      <c r="AH97" s="11">
        <f t="shared" si="19"/>
        <v>-1.5139100397379623</v>
      </c>
      <c r="AI97" s="11">
        <f t="shared" si="20"/>
        <v>-86.740655839467991</v>
      </c>
      <c r="AJ97" s="11">
        <f t="shared" si="21"/>
        <v>2.8048278588175735</v>
      </c>
      <c r="AL97" s="11" t="str">
        <f t="shared" si="24"/>
        <v>0.0158928928300775-0.0212662371839028i</v>
      </c>
      <c r="AM97" s="11" t="str">
        <f t="shared" si="25"/>
        <v>0.994089926388437-0.0762304164404821i</v>
      </c>
      <c r="AN97" s="11" t="str">
        <f t="shared" si="29"/>
        <v>-5.87188026190198+9.25731914153462i</v>
      </c>
      <c r="AO97" s="11">
        <f t="shared" si="30"/>
        <v>10.962524139008194</v>
      </c>
      <c r="AP97" s="11">
        <f t="shared" si="31"/>
        <v>2.1360524767479276</v>
      </c>
      <c r="AQ97" s="11">
        <f t="shared" si="32"/>
        <v>122.38679173612266</v>
      </c>
      <c r="AR97" s="11">
        <f t="shared" si="33"/>
        <v>20.798211253459616</v>
      </c>
      <c r="AS97" s="11">
        <f t="shared" si="34"/>
        <v>23.603039112277191</v>
      </c>
      <c r="AT97" s="11">
        <f t="shared" si="35"/>
        <v>35.64613589665467</v>
      </c>
    </row>
    <row r="98" spans="25:46" x14ac:dyDescent="0.25">
      <c r="Y98" s="11">
        <v>96</v>
      </c>
      <c r="Z98" s="11">
        <f t="shared" si="26"/>
        <v>758.57757502918309</v>
      </c>
      <c r="AA98" s="11" t="str">
        <f t="shared" si="27"/>
        <v>4766.28347377928i</v>
      </c>
      <c r="AB98" s="11">
        <f>$T$6/'5. Current Sense Resistor'!$B$11</f>
        <v>100</v>
      </c>
      <c r="AD98" s="11" t="str">
        <f t="shared" si="22"/>
        <v>0.0114425700344296-0.0851620415139528i</v>
      </c>
      <c r="AE98" s="11" t="str">
        <f t="shared" si="23"/>
        <v>0.997878612935939-0.0853246247725801i</v>
      </c>
      <c r="AF98" s="11" t="str">
        <f t="shared" si="28"/>
        <v>0.0622415374908983-1.28860768830783i</v>
      </c>
      <c r="AG98" s="11">
        <f t="shared" si="18"/>
        <v>1.2901099888595857</v>
      </c>
      <c r="AH98" s="11">
        <f t="shared" si="19"/>
        <v>-1.522532450959136</v>
      </c>
      <c r="AI98" s="11">
        <f t="shared" si="20"/>
        <v>-87.234683611667478</v>
      </c>
      <c r="AJ98" s="11">
        <f t="shared" si="21"/>
        <v>2.212534756659549</v>
      </c>
      <c r="AL98" s="11" t="str">
        <f t="shared" si="24"/>
        <v>0.0158336174142292-0.0198480027401889i</v>
      </c>
      <c r="AM98" s="11" t="str">
        <f t="shared" si="25"/>
        <v>0.993220328909013-0.0816101220084856i</v>
      </c>
      <c r="AN98" s="11" t="str">
        <f t="shared" si="29"/>
        <v>-5.84232677584159+8.69967405763036i</v>
      </c>
      <c r="AO98" s="11">
        <f t="shared" si="30"/>
        <v>10.47936595719046</v>
      </c>
      <c r="AP98" s="11">
        <f t="shared" si="31"/>
        <v>2.1621768898544036</v>
      </c>
      <c r="AQ98" s="11">
        <f t="shared" si="32"/>
        <v>123.88361034937999</v>
      </c>
      <c r="AR98" s="11">
        <f t="shared" si="33"/>
        <v>20.406700138405441</v>
      </c>
      <c r="AS98" s="11">
        <f t="shared" si="34"/>
        <v>22.619234895064992</v>
      </c>
      <c r="AT98" s="11">
        <f t="shared" si="35"/>
        <v>36.648926737712515</v>
      </c>
    </row>
    <row r="99" spans="25:46" x14ac:dyDescent="0.25">
      <c r="Y99" s="11">
        <v>97</v>
      </c>
      <c r="Z99" s="11">
        <f t="shared" si="26"/>
        <v>812.8305161640983</v>
      </c>
      <c r="AA99" s="11" t="str">
        <f t="shared" si="27"/>
        <v>5107.16475638946i</v>
      </c>
      <c r="AB99" s="11">
        <f>$T$6/'5. Current Sense Resistor'!$B$11</f>
        <v>100</v>
      </c>
      <c r="AD99" s="11" t="str">
        <f t="shared" si="22"/>
        <v>0.0105019714227623-0.0795534635656243i</v>
      </c>
      <c r="AE99" s="11" t="str">
        <f t="shared" si="23"/>
        <v>0.997564503186871-0.0914193791718612i</v>
      </c>
      <c r="AF99" s="11" t="str">
        <f t="shared" si="28"/>
        <v>0.0480267338004664-1.20408863855835i</v>
      </c>
      <c r="AG99" s="11">
        <f t="shared" si="18"/>
        <v>1.2050460641257006</v>
      </c>
      <c r="AH99" s="11">
        <f t="shared" si="19"/>
        <v>-1.5309310813299808</v>
      </c>
      <c r="AI99" s="11">
        <f t="shared" si="20"/>
        <v>-87.71588968560728</v>
      </c>
      <c r="AJ99" s="11">
        <f t="shared" si="21"/>
        <v>1.6200729716324687</v>
      </c>
      <c r="AL99" s="11" t="str">
        <f t="shared" si="24"/>
        <v>0.0157819848669611-0.0185242057081929i</v>
      </c>
      <c r="AM99" s="11" t="str">
        <f t="shared" si="25"/>
        <v>0.99222379236226-0.0873581142478749i</v>
      </c>
      <c r="AN99" s="11" t="str">
        <f t="shared" si="29"/>
        <v>-5.81521939844184+8.18330804536537i</v>
      </c>
      <c r="AO99" s="11">
        <f t="shared" si="30"/>
        <v>10.039088963514363</v>
      </c>
      <c r="AP99" s="11">
        <f t="shared" si="31"/>
        <v>2.1886140638250771</v>
      </c>
      <c r="AQ99" s="11">
        <f t="shared" si="32"/>
        <v>125.39834884015269</v>
      </c>
      <c r="AR99" s="11">
        <f t="shared" si="33"/>
        <v>20.033886056835875</v>
      </c>
      <c r="AS99" s="11">
        <f t="shared" si="34"/>
        <v>21.653959028468343</v>
      </c>
      <c r="AT99" s="11">
        <f t="shared" si="35"/>
        <v>37.682459154545413</v>
      </c>
    </row>
    <row r="100" spans="25:46" x14ac:dyDescent="0.25">
      <c r="Y100" s="11">
        <v>98</v>
      </c>
      <c r="Z100" s="11">
        <f t="shared" si="26"/>
        <v>870.96358995608011</v>
      </c>
      <c r="AA100" s="11" t="str">
        <f t="shared" si="27"/>
        <v>5472.42563150043i</v>
      </c>
      <c r="AB100" s="11">
        <f>$T$6/'5. Current Sense Resistor'!$B$11</f>
        <v>100</v>
      </c>
      <c r="AD100" s="11" t="str">
        <f t="shared" si="22"/>
        <v>0.00968128468496127-0.074305189448096i</v>
      </c>
      <c r="AE100" s="11" t="str">
        <f t="shared" si="23"/>
        <v>0.997203914643783-0.0979482767983732i</v>
      </c>
      <c r="AF100" s="11" t="str">
        <f t="shared" si="28"/>
        <v>0.0356212921438381-1.12502358564135i</v>
      </c>
      <c r="AG100" s="11">
        <f t="shared" si="18"/>
        <v>1.1255873776403664</v>
      </c>
      <c r="AH100" s="11">
        <f t="shared" si="19"/>
        <v>-1.5391441943558126</v>
      </c>
      <c r="AI100" s="11">
        <f t="shared" si="20"/>
        <v>-88.186466398651362</v>
      </c>
      <c r="AJ100" s="11">
        <f t="shared" si="21"/>
        <v>1.0275842853377306</v>
      </c>
      <c r="AL100" s="11" t="str">
        <f t="shared" si="24"/>
        <v>0.0157370103839145-0.0172885846230519i</v>
      </c>
      <c r="AM100" s="11" t="str">
        <f t="shared" si="25"/>
        <v>0.991082105704146-0.0934970099869675i</v>
      </c>
      <c r="AN100" s="11" t="str">
        <f t="shared" si="29"/>
        <v>-5.79004564635423+7.70575264275026i</v>
      </c>
      <c r="AO100" s="11">
        <f t="shared" si="30"/>
        <v>9.6386333252239744</v>
      </c>
      <c r="AP100" s="11">
        <f t="shared" si="31"/>
        <v>2.2151881150318991</v>
      </c>
      <c r="AQ100" s="11">
        <f t="shared" si="32"/>
        <v>126.92092981886813</v>
      </c>
      <c r="AR100" s="11">
        <f t="shared" si="33"/>
        <v>19.680309181394449</v>
      </c>
      <c r="AS100" s="11">
        <f t="shared" si="34"/>
        <v>20.70789346673218</v>
      </c>
      <c r="AT100" s="11">
        <f t="shared" si="35"/>
        <v>38.73446342021677</v>
      </c>
    </row>
    <row r="101" spans="25:46" x14ac:dyDescent="0.25">
      <c r="Y101" s="11">
        <v>99</v>
      </c>
      <c r="Z101" s="11">
        <f t="shared" si="26"/>
        <v>933.25430079699026</v>
      </c>
      <c r="AA101" s="11" t="str">
        <f t="shared" si="27"/>
        <v>5863.80971062981i</v>
      </c>
      <c r="AB101" s="11">
        <f>$T$6/'5. Current Sense Resistor'!$B$11</f>
        <v>100</v>
      </c>
      <c r="AD101" s="11" t="str">
        <f t="shared" si="22"/>
        <v>0.00896538642756708-0.0693957673654018i</v>
      </c>
      <c r="AE101" s="11" t="str">
        <f t="shared" si="23"/>
        <v>0.996789979650081-0.104941965054835i</v>
      </c>
      <c r="AF101" s="11" t="str">
        <f t="shared" si="28"/>
        <v>0.0247966011771571-1.05108947421118i</v>
      </c>
      <c r="AG101" s="11">
        <f t="shared" si="18"/>
        <v>1.0513819259562502</v>
      </c>
      <c r="AH101" s="11">
        <f t="shared" si="19"/>
        <v>-1.5472093695184694</v>
      </c>
      <c r="AI101" s="11">
        <f t="shared" si="20"/>
        <v>-88.648566896505329</v>
      </c>
      <c r="AJ101" s="11">
        <f t="shared" si="21"/>
        <v>0.43521013797502872</v>
      </c>
      <c r="AL101" s="11" t="str">
        <f t="shared" si="24"/>
        <v>0.015697835897638-0.0161352881264952i</v>
      </c>
      <c r="AM101" s="11" t="str">
        <f t="shared" si="25"/>
        <v>0.989774545487152-0.100050214312648i</v>
      </c>
      <c r="AN101" s="11" t="str">
        <f t="shared" si="29"/>
        <v>-5.76633127296542+7.26471401822517i</v>
      </c>
      <c r="AO101" s="11">
        <f t="shared" si="30"/>
        <v>9.2750550465307917</v>
      </c>
      <c r="AP101" s="11">
        <f t="shared" si="31"/>
        <v>2.2417116615711996</v>
      </c>
      <c r="AQ101" s="11">
        <f t="shared" si="32"/>
        <v>128.44061709328886</v>
      </c>
      <c r="AR101" s="11">
        <f t="shared" si="33"/>
        <v>19.346329915787233</v>
      </c>
      <c r="AS101" s="11">
        <f t="shared" si="34"/>
        <v>19.781540053762264</v>
      </c>
      <c r="AT101" s="11">
        <f t="shared" si="35"/>
        <v>39.792050196783535</v>
      </c>
    </row>
    <row r="102" spans="25:46" x14ac:dyDescent="0.25">
      <c r="Y102" s="11">
        <v>100</v>
      </c>
      <c r="Z102" s="11">
        <f t="shared" si="26"/>
        <v>999.99999999999977</v>
      </c>
      <c r="AA102" s="11" t="str">
        <f t="shared" si="27"/>
        <v>6283.18530717958i</v>
      </c>
      <c r="AB102" s="11">
        <f>$T$6/'5. Current Sense Resistor'!$B$11</f>
        <v>100</v>
      </c>
      <c r="AD102" s="11" t="str">
        <f t="shared" si="22"/>
        <v>0.00834102125887285-0.064804700480043i</v>
      </c>
      <c r="AE102" s="11" t="str">
        <f t="shared" si="23"/>
        <v>0.996314818909528-0.112433190856342i</v>
      </c>
      <c r="AF102" s="11" t="str">
        <f t="shared" si="28"/>
        <v>0.0153522266923214-0.981977731915988i</v>
      </c>
      <c r="AG102" s="11">
        <f t="shared" si="18"/>
        <v>0.98209773283684987</v>
      </c>
      <c r="AH102" s="11">
        <f t="shared" si="19"/>
        <v>-1.5551636137792717</v>
      </c>
      <c r="AI102" s="11">
        <f t="shared" si="20"/>
        <v>-89.104311521865469</v>
      </c>
      <c r="AJ102" s="11">
        <f t="shared" si="21"/>
        <v>-0.15690583041703005</v>
      </c>
      <c r="AL102" s="11" t="str">
        <f t="shared" si="24"/>
        <v>0.0156637138056047-0.0150588490547952i</v>
      </c>
      <c r="AM102" s="11" t="str">
        <f t="shared" si="25"/>
        <v>0.988277560763717-0.10704179724819i</v>
      </c>
      <c r="AN102" s="11" t="str">
        <f t="shared" si="29"/>
        <v>-5.74363171958857+6.85806151726188i</v>
      </c>
      <c r="AO102" s="11">
        <f t="shared" si="30"/>
        <v>8.9455191635148967</v>
      </c>
      <c r="AP102" s="11">
        <f t="shared" si="31"/>
        <v>2.2679890313496922</v>
      </c>
      <c r="AQ102" s="11">
        <f t="shared" si="32"/>
        <v>129.94619947830111</v>
      </c>
      <c r="AR102" s="11">
        <f t="shared" si="33"/>
        <v>19.032111008312434</v>
      </c>
      <c r="AS102" s="11">
        <f t="shared" si="34"/>
        <v>18.875205177895403</v>
      </c>
      <c r="AT102" s="11">
        <f t="shared" si="35"/>
        <v>40.841887956435642</v>
      </c>
    </row>
    <row r="103" spans="25:46" x14ac:dyDescent="0.25">
      <c r="Y103" s="11">
        <v>101</v>
      </c>
      <c r="Z103" s="11">
        <f t="shared" si="26"/>
        <v>1071.5193052376057</v>
      </c>
      <c r="AA103" s="11" t="str">
        <f t="shared" si="27"/>
        <v>6732.5543550282i</v>
      </c>
      <c r="AB103" s="11">
        <f>$T$6/'5. Current Sense Resistor'!$B$11</f>
        <v>100</v>
      </c>
      <c r="AD103" s="11" t="str">
        <f t="shared" si="22"/>
        <v>0.00779658058435796-0.0605124697649517i</v>
      </c>
      <c r="AE103" s="11" t="str">
        <f t="shared" si="23"/>
        <v>0.995769393458088-0.120456929619348i</v>
      </c>
      <c r="AF103" s="11" t="str">
        <f t="shared" si="28"/>
        <v>0.00711256625694873-0.917394618205214i</v>
      </c>
      <c r="AG103" s="11">
        <f t="shared" si="18"/>
        <v>0.91742218967640499</v>
      </c>
      <c r="AH103" s="11">
        <f t="shared" si="19"/>
        <v>-1.5630434758287535</v>
      </c>
      <c r="AI103" s="11">
        <f t="shared" si="20"/>
        <v>-89.555794360446072</v>
      </c>
      <c r="AJ103" s="11">
        <f t="shared" si="21"/>
        <v>-0.74861519606080451</v>
      </c>
      <c r="AL103" s="11" t="str">
        <f t="shared" si="24"/>
        <v>0.0156339927782109-0.0140541599836141i</v>
      </c>
      <c r="AM103" s="11" t="str">
        <f t="shared" si="25"/>
        <v>0.986564428511489-0.114496324710658i</v>
      </c>
      <c r="AN103" s="11" t="str">
        <f t="shared" si="29"/>
        <v>-5.72152426127989+6.48381655240306i</v>
      </c>
      <c r="AO103" s="11">
        <f t="shared" si="30"/>
        <v>8.6472953550593079</v>
      </c>
      <c r="AP103" s="11">
        <f t="shared" si="31"/>
        <v>2.2938198743068217</v>
      </c>
      <c r="AQ103" s="11">
        <f t="shared" si="32"/>
        <v>131.42619776100986</v>
      </c>
      <c r="AR103" s="11">
        <f t="shared" si="33"/>
        <v>18.737605857856003</v>
      </c>
      <c r="AS103" s="11">
        <f t="shared" si="34"/>
        <v>17.988990661795199</v>
      </c>
      <c r="AT103" s="11">
        <f t="shared" si="35"/>
        <v>41.870403400563788</v>
      </c>
    </row>
    <row r="104" spans="25:46" x14ac:dyDescent="0.25">
      <c r="Y104" s="11">
        <v>102</v>
      </c>
      <c r="Z104" s="11">
        <f t="shared" si="26"/>
        <v>1148.1536214968828</v>
      </c>
      <c r="AA104" s="11" t="str">
        <f t="shared" si="27"/>
        <v>7214.06196497425i</v>
      </c>
      <c r="AB104" s="11">
        <f>$T$6/'5. Current Sense Resistor'!$B$11</f>
        <v>100</v>
      </c>
      <c r="AD104" s="11" t="str">
        <f t="shared" si="22"/>
        <v>0.00732190526265984-0.0565005398895323i</v>
      </c>
      <c r="AE104" s="11" t="str">
        <f t="shared" si="23"/>
        <v>0.995143335290995-0.129050518644157i</v>
      </c>
      <c r="AF104" s="11" t="str">
        <f t="shared" si="28"/>
        <v>-0.0000761365035867601-0.857061317029411i</v>
      </c>
      <c r="AG104" s="11">
        <f t="shared" si="18"/>
        <v>0.85706132041118022</v>
      </c>
      <c r="AH104" s="11">
        <f t="shared" si="19"/>
        <v>-1.5708851611663395</v>
      </c>
      <c r="AI104" s="11">
        <f t="shared" si="20"/>
        <v>-90.005089834559385</v>
      </c>
      <c r="AJ104" s="11">
        <f t="shared" si="21"/>
        <v>-1.33976208747562</v>
      </c>
      <c r="AL104" s="11" t="str">
        <f t="shared" si="24"/>
        <v>0.0156081053831125-0.0131164501832991i</v>
      </c>
      <c r="AM104" s="11" t="str">
        <f t="shared" si="25"/>
        <v>0.984604880206525-0.1224386337279i</v>
      </c>
      <c r="AN104" s="11" t="str">
        <f t="shared" si="29"/>
        <v>-5.6996007414828+6.14014176028042i</v>
      </c>
      <c r="AO104" s="11">
        <f t="shared" si="30"/>
        <v>8.3777556331424954</v>
      </c>
      <c r="AP104" s="11">
        <f t="shared" si="31"/>
        <v>2.3190029820151983</v>
      </c>
      <c r="AQ104" s="11">
        <f t="shared" si="32"/>
        <v>132.86908354772322</v>
      </c>
      <c r="AR104" s="11">
        <f t="shared" si="33"/>
        <v>18.46255376952395</v>
      </c>
      <c r="AS104" s="11">
        <f t="shared" si="34"/>
        <v>17.12279168204833</v>
      </c>
      <c r="AT104" s="11">
        <f t="shared" si="35"/>
        <v>42.863993713163836</v>
      </c>
    </row>
    <row r="105" spans="25:46" x14ac:dyDescent="0.25">
      <c r="Y105" s="11">
        <v>103</v>
      </c>
      <c r="Z105" s="11">
        <f t="shared" si="26"/>
        <v>1230.2687708123801</v>
      </c>
      <c r="AA105" s="11" t="str">
        <f t="shared" si="27"/>
        <v>7730.00666465024i</v>
      </c>
      <c r="AB105" s="11">
        <f>$T$6/'5. Current Sense Resistor'!$B$11</f>
        <v>100</v>
      </c>
      <c r="AD105" s="11" t="str">
        <f t="shared" si="22"/>
        <v>0.00690811013827428-0.052751351942401i</v>
      </c>
      <c r="AE105" s="11" t="str">
        <f t="shared" si="23"/>
        <v>0.994424753667987-0.138253794109937i</v>
      </c>
      <c r="AF105" s="11" t="str">
        <f t="shared" si="28"/>
        <v>-0.00634844803731369-0.800713830830035i</v>
      </c>
      <c r="AG105" s="11">
        <f t="shared" si="18"/>
        <v>0.80073899722380959</v>
      </c>
      <c r="AH105" s="11">
        <f t="shared" si="19"/>
        <v>-1.5787246462204936</v>
      </c>
      <c r="AI105" s="11">
        <f t="shared" si="20"/>
        <v>-90.45425924171829</v>
      </c>
      <c r="AJ105" s="11">
        <f t="shared" si="21"/>
        <v>-1.9301804033375045</v>
      </c>
      <c r="AL105" s="11" t="str">
        <f t="shared" si="24"/>
        <v>0.0155855572951247-0.0122412639318386i</v>
      </c>
      <c r="AM105" s="11" t="str">
        <f t="shared" si="25"/>
        <v>0.982364701618746-0.130893540285014i</v>
      </c>
      <c r="AN105" s="11" t="str">
        <f t="shared" si="29"/>
        <v>-5.67746081160247+5.82533033733365i</v>
      </c>
      <c r="AO105" s="11">
        <f t="shared" si="30"/>
        <v>8.1343736579002535</v>
      </c>
      <c r="AP105" s="11">
        <f t="shared" si="31"/>
        <v>2.3433400986537061</v>
      </c>
      <c r="AQ105" s="11">
        <f t="shared" si="32"/>
        <v>134.26349761662732</v>
      </c>
      <c r="AR105" s="11">
        <f t="shared" si="33"/>
        <v>18.206482362691705</v>
      </c>
      <c r="AS105" s="11">
        <f t="shared" si="34"/>
        <v>16.2763019593542</v>
      </c>
      <c r="AT105" s="11">
        <f t="shared" si="35"/>
        <v>43.809238374909029</v>
      </c>
    </row>
    <row r="106" spans="25:46" x14ac:dyDescent="0.25">
      <c r="Y106" s="11">
        <v>104</v>
      </c>
      <c r="Z106" s="11">
        <f t="shared" si="26"/>
        <v>1318.2567385564053</v>
      </c>
      <c r="AA106" s="11" t="str">
        <f t="shared" si="27"/>
        <v>8282.85137078809i</v>
      </c>
      <c r="AB106" s="11">
        <f>$T$6/'5. Current Sense Resistor'!$B$11</f>
        <v>100</v>
      </c>
      <c r="AD106" s="11" t="str">
        <f t="shared" si="22"/>
        <v>0.00654742847064235-0.0492483061024878i</v>
      </c>
      <c r="AE106" s="11" t="str">
        <f t="shared" si="23"/>
        <v>0.993600013736813-0.148109230600355i</v>
      </c>
      <c r="AF106" s="11" t="str">
        <f t="shared" si="28"/>
        <v>-0.011822101425279-0.748102722772005i</v>
      </c>
      <c r="AG106" s="11">
        <f t="shared" si="18"/>
        <v>0.7481961279644509</v>
      </c>
      <c r="AH106" s="11">
        <f t="shared" si="19"/>
        <v>-1.5865977897630377</v>
      </c>
      <c r="AI106" s="11">
        <f t="shared" si="20"/>
        <v>-90.905357138206739</v>
      </c>
      <c r="AJ106" s="11">
        <f t="shared" si="21"/>
        <v>-2.5196908735187442</v>
      </c>
      <c r="AL106" s="11" t="str">
        <f t="shared" si="24"/>
        <v>0.0155659178898259-0.0114244401285259i</v>
      </c>
      <c r="AM106" s="11" t="str">
        <f t="shared" si="25"/>
        <v>0.979805309887548-0.139885466476645i</v>
      </c>
      <c r="AN106" s="11" t="str">
        <f t="shared" si="29"/>
        <v>-5.65470561493119+5.53779545455776i</v>
      </c>
      <c r="AO106" s="11">
        <f t="shared" si="30"/>
        <v>7.9147251429253638</v>
      </c>
      <c r="AP106" s="11">
        <f t="shared" si="31"/>
        <v>2.3666395111973664</v>
      </c>
      <c r="AQ106" s="11">
        <f t="shared" si="32"/>
        <v>135.59845562051322</v>
      </c>
      <c r="AR106" s="11">
        <f t="shared" si="33"/>
        <v>17.968716751665575</v>
      </c>
      <c r="AS106" s="11">
        <f t="shared" si="34"/>
        <v>15.449025878146831</v>
      </c>
      <c r="AT106" s="11">
        <f t="shared" si="35"/>
        <v>44.693098482306482</v>
      </c>
    </row>
    <row r="107" spans="25:46" x14ac:dyDescent="0.25">
      <c r="Y107" s="11">
        <v>105</v>
      </c>
      <c r="Z107" s="11">
        <f t="shared" si="26"/>
        <v>1412.5375446227531</v>
      </c>
      <c r="AA107" s="11" t="str">
        <f t="shared" si="27"/>
        <v>8875.23514621321i</v>
      </c>
      <c r="AB107" s="11">
        <f>$T$6/'5. Current Sense Resistor'!$B$11</f>
        <v>100</v>
      </c>
      <c r="AD107" s="11" t="str">
        <f t="shared" si="22"/>
        <v>0.00623307433932197-0.0459757367894607i</v>
      </c>
      <c r="AE107" s="11" t="str">
        <f t="shared" si="23"/>
        <v>0.992653483693791-0.158662081701948i</v>
      </c>
      <c r="AF107" s="11" t="str">
        <f t="shared" si="28"/>
        <v>-0.0166000824917882-0.698992745389731i</v>
      </c>
      <c r="AG107" s="11">
        <f t="shared" si="18"/>
        <v>0.69918983176688676</v>
      </c>
      <c r="AH107" s="11">
        <f t="shared" si="19"/>
        <v>-1.5945404398343497</v>
      </c>
      <c r="AI107" s="11">
        <f t="shared" si="20"/>
        <v>-91.360437465442203</v>
      </c>
      <c r="AJ107" s="11">
        <f t="shared" si="21"/>
        <v>-3.1080979243964757</v>
      </c>
      <c r="AL107" s="11" t="str">
        <f t="shared" si="24"/>
        <v>0.0155488120443961-0.0106620931489089i</v>
      </c>
      <c r="AM107" s="11" t="str">
        <f t="shared" si="25"/>
        <v>0.976883314585961-0.149437971944095i</v>
      </c>
      <c r="AN107" s="11" t="str">
        <f t="shared" si="29"/>
        <v>-5.63093188000482+5.27605964089497i</v>
      </c>
      <c r="AO107" s="11">
        <f t="shared" si="30"/>
        <v>7.716488785162289</v>
      </c>
      <c r="AP107" s="11">
        <f t="shared" si="31"/>
        <v>2.388719233123064</v>
      </c>
      <c r="AQ107" s="11">
        <f t="shared" si="32"/>
        <v>136.86353049967815</v>
      </c>
      <c r="AR107" s="11">
        <f t="shared" si="33"/>
        <v>17.748394586734914</v>
      </c>
      <c r="AS107" s="11">
        <f t="shared" si="34"/>
        <v>14.640296662338439</v>
      </c>
      <c r="AT107" s="11">
        <f t="shared" si="35"/>
        <v>45.503093034235945</v>
      </c>
    </row>
    <row r="108" spans="25:46" x14ac:dyDescent="0.25">
      <c r="Y108" s="11">
        <v>106</v>
      </c>
      <c r="Z108" s="11">
        <f t="shared" si="26"/>
        <v>1513.5612484362066</v>
      </c>
      <c r="AA108" s="11" t="str">
        <f t="shared" si="27"/>
        <v>9509.98579769076i</v>
      </c>
      <c r="AB108" s="11">
        <f>$T$6/'5. Current Sense Resistor'!$B$11</f>
        <v>100</v>
      </c>
      <c r="AD108" s="11" t="str">
        <f t="shared" si="22"/>
        <v>0.00595912120178662-0.0429188823395173i</v>
      </c>
      <c r="AE108" s="11" t="str">
        <f t="shared" si="23"/>
        <v>0.991567246240344-0.169960519749847i</v>
      </c>
      <c r="AF108" s="11" t="str">
        <f t="shared" si="28"/>
        <v>-0.0207724731397363-0.65316238647873i</v>
      </c>
      <c r="AG108" s="11">
        <f t="shared" si="18"/>
        <v>0.6534926156820221</v>
      </c>
      <c r="AH108" s="11">
        <f t="shared" si="19"/>
        <v>-1.6025885342825763</v>
      </c>
      <c r="AI108" s="11">
        <f t="shared" si="20"/>
        <v>-91.821559310448251</v>
      </c>
      <c r="AJ108" s="11">
        <f t="shared" si="21"/>
        <v>-3.695186309692283</v>
      </c>
      <c r="AL108" s="11" t="str">
        <f t="shared" si="24"/>
        <v>0.0155339129914846-0.00995059488046718i</v>
      </c>
      <c r="AM108" s="11" t="str">
        <f t="shared" si="25"/>
        <v>0.973550072945416-0.15957317300063i</v>
      </c>
      <c r="AN108" s="11" t="str">
        <f t="shared" si="29"/>
        <v>-5.60572641747649+5.03874401542242i</v>
      </c>
      <c r="AO108" s="11">
        <f t="shared" si="30"/>
        <v>7.5374471753073697</v>
      </c>
      <c r="AP108" s="11">
        <f t="shared" si="31"/>
        <v>2.4094096408277341</v>
      </c>
      <c r="AQ108" s="11">
        <f t="shared" si="32"/>
        <v>138.04900353756074</v>
      </c>
      <c r="AR108" s="11">
        <f t="shared" si="33"/>
        <v>17.544485629855274</v>
      </c>
      <c r="AS108" s="11">
        <f t="shared" si="34"/>
        <v>13.849299320162991</v>
      </c>
      <c r="AT108" s="11">
        <f t="shared" si="35"/>
        <v>46.227444227112485</v>
      </c>
    </row>
    <row r="109" spans="25:46" x14ac:dyDescent="0.25">
      <c r="Y109" s="11">
        <v>107</v>
      </c>
      <c r="Z109" s="11">
        <f t="shared" si="26"/>
        <v>1621.8100973589292</v>
      </c>
      <c r="AA109" s="11" t="str">
        <f t="shared" si="27"/>
        <v>10190.1333747611i</v>
      </c>
      <c r="AB109" s="11">
        <f>$T$6/'5. Current Sense Resistor'!$B$11</f>
        <v>100</v>
      </c>
      <c r="AD109" s="11" t="str">
        <f t="shared" si="22"/>
        <v>0.00572039489942455-0.0400638508500428i</v>
      </c>
      <c r="AE109" s="11" t="str">
        <f t="shared" si="23"/>
        <v>0.990320769597394-0.18205577221659i</v>
      </c>
      <c r="AF109" s="11" t="str">
        <f t="shared" si="28"/>
        <v>-0.0244180778039567-0.610403356966507i</v>
      </c>
      <c r="AG109" s="11">
        <f t="shared" si="18"/>
        <v>0.61089156216109342</v>
      </c>
      <c r="AH109" s="11">
        <f t="shared" si="19"/>
        <v>-1.6107781928331688</v>
      </c>
      <c r="AI109" s="11">
        <f t="shared" si="20"/>
        <v>-92.290792181050435</v>
      </c>
      <c r="AJ109" s="11">
        <f t="shared" si="21"/>
        <v>-4.2807174689487395</v>
      </c>
      <c r="AL109" s="11" t="str">
        <f t="shared" si="24"/>
        <v>0.0155209360914273-0.00928655787834607i</v>
      </c>
      <c r="AM109" s="11" t="str">
        <f t="shared" si="25"/>
        <v>0.969751253843875-0.17031103158303i</v>
      </c>
      <c r="AN109" s="11" t="str">
        <f t="shared" si="29"/>
        <v>-5.57866104798212+4.82455724121895i</v>
      </c>
      <c r="AO109" s="11">
        <f t="shared" si="30"/>
        <v>7.375487215233389</v>
      </c>
      <c r="AP109" s="11">
        <f t="shared" si="31"/>
        <v>2.4285554784307277</v>
      </c>
      <c r="AQ109" s="11">
        <f t="shared" si="32"/>
        <v>139.14597922745514</v>
      </c>
      <c r="AR109" s="11">
        <f t="shared" si="33"/>
        <v>17.355814290694486</v>
      </c>
      <c r="AS109" s="11">
        <f t="shared" si="34"/>
        <v>13.075096821745746</v>
      </c>
      <c r="AT109" s="11">
        <f t="shared" si="35"/>
        <v>46.855187046404708</v>
      </c>
    </row>
    <row r="110" spans="25:46" x14ac:dyDescent="0.25">
      <c r="Y110" s="11">
        <v>108</v>
      </c>
      <c r="Z110" s="11">
        <f t="shared" si="26"/>
        <v>1737.8008287493742</v>
      </c>
      <c r="AA110" s="11" t="str">
        <f t="shared" si="27"/>
        <v>10918.9246340026i</v>
      </c>
      <c r="AB110" s="11">
        <f>$T$6/'5. Current Sense Resistor'!$B$11</f>
        <v>100</v>
      </c>
      <c r="AD110" s="11" t="str">
        <f t="shared" si="22"/>
        <v>0.00551237953787354-0.0373975835041379i</v>
      </c>
      <c r="AE110" s="11" t="str">
        <f t="shared" si="23"/>
        <v>0.98889053280969-0.195002251525996i</v>
      </c>
      <c r="AF110" s="11" t="str">
        <f t="shared" si="28"/>
        <v>-0.0276058569608314-0.5705200404515i</v>
      </c>
      <c r="AG110" s="11">
        <f t="shared" si="18"/>
        <v>0.57118753478636342</v>
      </c>
      <c r="AH110" s="11">
        <f t="shared" si="19"/>
        <v>-1.6191457983491246</v>
      </c>
      <c r="AI110" s="11">
        <f t="shared" si="20"/>
        <v>-92.7702206617451</v>
      </c>
      <c r="AJ110" s="11">
        <f t="shared" si="21"/>
        <v>-4.8644255775987322</v>
      </c>
      <c r="AL110" s="11" t="str">
        <f t="shared" si="24"/>
        <v>0.0155096334052189-0.00866681958114169i</v>
      </c>
      <c r="AM110" s="11" t="str">
        <f t="shared" si="25"/>
        <v>0.965426430705977-0.181668495480844i</v>
      </c>
      <c r="AN110" s="11" t="str">
        <f t="shared" si="29"/>
        <v>-5.54928802721311+4.63228407015095i</v>
      </c>
      <c r="AO110" s="11">
        <f t="shared" si="30"/>
        <v>7.2285996787444962</v>
      </c>
      <c r="AP110" s="11">
        <f t="shared" si="31"/>
        <v>2.4460172066354029</v>
      </c>
      <c r="AQ110" s="11">
        <f t="shared" si="32"/>
        <v>140.14646255658758</v>
      </c>
      <c r="AR110" s="11">
        <f t="shared" si="33"/>
        <v>17.181083482001796</v>
      </c>
      <c r="AS110" s="11">
        <f t="shared" si="34"/>
        <v>12.316657904403064</v>
      </c>
      <c r="AT110" s="11">
        <f t="shared" si="35"/>
        <v>47.376241894842479</v>
      </c>
    </row>
    <row r="111" spans="25:46" x14ac:dyDescent="0.25">
      <c r="Y111" s="11">
        <v>109</v>
      </c>
      <c r="Z111" s="11">
        <f t="shared" si="26"/>
        <v>1862.0871366628671</v>
      </c>
      <c r="AA111" s="11" t="str">
        <f t="shared" si="27"/>
        <v>11699.8385377682i</v>
      </c>
      <c r="AB111" s="11">
        <f>$T$6/'5. Current Sense Resistor'!$B$11</f>
        <v>100</v>
      </c>
      <c r="AD111" s="11" t="str">
        <f t="shared" si="22"/>
        <v>0.00533113480233313-0.0349078164127175i</v>
      </c>
      <c r="AE111" s="11" t="str">
        <f t="shared" si="23"/>
        <v>0.987249599516545-0.208857674197465i</v>
      </c>
      <c r="AF111" s="11" t="str">
        <f t="shared" si="28"/>
        <v>-0.0303961896189621-0.533328919942429i</v>
      </c>
      <c r="AG111" s="11">
        <f t="shared" si="18"/>
        <v>0.53419440767412552</v>
      </c>
      <c r="AH111" s="11">
        <f t="shared" si="19"/>
        <v>-1.6277280646235495</v>
      </c>
      <c r="AI111" s="11">
        <f t="shared" si="20"/>
        <v>-93.261948297927106</v>
      </c>
      <c r="AJ111" s="11">
        <f t="shared" si="21"/>
        <v>-5.4460132558691452</v>
      </c>
      <c r="AL111" s="11" t="str">
        <f t="shared" si="24"/>
        <v>0.0154997889656036-0.00808842752798608i</v>
      </c>
      <c r="AM111" s="11" t="str">
        <f t="shared" si="25"/>
        <v>0.960508730244349-0.193658471556213i</v>
      </c>
      <c r="AN111" s="11" t="str">
        <f t="shared" si="29"/>
        <v>-5.51713607931746+4.46077334982985i</v>
      </c>
      <c r="AO111" s="11">
        <f t="shared" si="30"/>
        <v>7.0948776871950834</v>
      </c>
      <c r="AP111" s="11">
        <f t="shared" si="31"/>
        <v>2.4616717272400885</v>
      </c>
      <c r="AQ111" s="11">
        <f t="shared" si="32"/>
        <v>141.04340051753664</v>
      </c>
      <c r="AR111" s="11">
        <f t="shared" si="33"/>
        <v>17.018898255956898</v>
      </c>
      <c r="AS111" s="11">
        <f t="shared" si="34"/>
        <v>11.572885000087753</v>
      </c>
      <c r="AT111" s="11">
        <f t="shared" si="35"/>
        <v>47.781452219609534</v>
      </c>
    </row>
    <row r="112" spans="25:46" x14ac:dyDescent="0.25">
      <c r="Y112" s="11">
        <v>110</v>
      </c>
      <c r="Z112" s="11">
        <f t="shared" si="26"/>
        <v>1995.2623149688786</v>
      </c>
      <c r="AA112" s="11" t="str">
        <f t="shared" si="27"/>
        <v>12536.6028613816i</v>
      </c>
      <c r="AB112" s="11">
        <f>$T$6/'5. Current Sense Resistor'!$B$11</f>
        <v>100</v>
      </c>
      <c r="AD112" s="11" t="str">
        <f t="shared" si="22"/>
        <v>0.00517322340168458-0.0325830417882242i</v>
      </c>
      <c r="AE112" s="11" t="str">
        <f t="shared" si="23"/>
        <v>0.985367133796706-0.223683164153754i</v>
      </c>
      <c r="AF112" s="11" t="str">
        <f t="shared" si="28"/>
        <v>-0.0328419847224974-0.498657993917341i</v>
      </c>
      <c r="AG112" s="11">
        <f t="shared" si="18"/>
        <v>0.49973832238300442</v>
      </c>
      <c r="AH112" s="11">
        <f t="shared" si="19"/>
        <v>-1.6365620876739246</v>
      </c>
      <c r="AI112" s="11">
        <f t="shared" si="20"/>
        <v>-93.768100534834886</v>
      </c>
      <c r="AJ112" s="11">
        <f t="shared" si="21"/>
        <v>-6.0251469090344001</v>
      </c>
      <c r="AL112" s="11" t="str">
        <f t="shared" si="24"/>
        <v>0.0154912146567221-0.00754862551985856i</v>
      </c>
      <c r="AM112" s="11" t="str">
        <f t="shared" si="25"/>
        <v>0.954924572042772-0.206288615364655i</v>
      </c>
      <c r="AN112" s="11" t="str">
        <f t="shared" si="29"/>
        <v>-5.48170720124295+4.30892537437851i</v>
      </c>
      <c r="AO112" s="11">
        <f t="shared" si="30"/>
        <v>6.9725140173485345</v>
      </c>
      <c r="AP112" s="11">
        <f t="shared" si="31"/>
        <v>2.4754125608161841</v>
      </c>
      <c r="AQ112" s="11">
        <f t="shared" si="32"/>
        <v>141.83069228843857</v>
      </c>
      <c r="AR112" s="11">
        <f t="shared" si="33"/>
        <v>16.867787920650596</v>
      </c>
      <c r="AS112" s="11">
        <f t="shared" si="34"/>
        <v>10.842641011616195</v>
      </c>
      <c r="AT112" s="11">
        <f t="shared" si="35"/>
        <v>48.062591753603684</v>
      </c>
    </row>
    <row r="113" spans="25:46" x14ac:dyDescent="0.25">
      <c r="Y113" s="11">
        <v>111</v>
      </c>
      <c r="Z113" s="11">
        <f t="shared" si="26"/>
        <v>2137.9620895022326</v>
      </c>
      <c r="AA113" s="11" t="str">
        <f t="shared" si="27"/>
        <v>13433.2119880674i</v>
      </c>
      <c r="AB113" s="11">
        <f>$T$6/'5. Current Sense Resistor'!$B$11</f>
        <v>100</v>
      </c>
      <c r="AD113" s="11" t="str">
        <f t="shared" si="22"/>
        <v>0.00503564746358797-0.0304124690817761i</v>
      </c>
      <c r="AE113" s="11" t="str">
        <f t="shared" si="23"/>
        <v>0.983207851131326-0.239543333718979i</v>
      </c>
      <c r="AF113" s="11" t="str">
        <f t="shared" si="28"/>
        <v>-0.0349896594785373-0.466346191026446i</v>
      </c>
      <c r="AG113" s="11">
        <f t="shared" si="18"/>
        <v>0.46765697488148134</v>
      </c>
      <c r="AH113" s="11">
        <f t="shared" si="19"/>
        <v>-1.6456853770973359</v>
      </c>
      <c r="AI113" s="11">
        <f t="shared" si="20"/>
        <v>-94.290826514072691</v>
      </c>
      <c r="AJ113" s="11">
        <f t="shared" si="21"/>
        <v>-6.6014516794899265</v>
      </c>
      <c r="AL113" s="11" t="str">
        <f t="shared" si="24"/>
        <v>0.0154837466241884-0.00704484067004188i</v>
      </c>
      <c r="AM113" s="11" t="str">
        <f t="shared" si="25"/>
        <v>0.948593543286865-0.2195599243412i</v>
      </c>
      <c r="AN113" s="11" t="str">
        <f t="shared" si="29"/>
        <v>-5.44247445848818+4.17567848289611i</v>
      </c>
      <c r="AO113" s="11">
        <f t="shared" si="30"/>
        <v>6.8597973019483423</v>
      </c>
      <c r="AP113" s="11">
        <f t="shared" si="31"/>
        <v>2.4871495875227101</v>
      </c>
      <c r="AQ113" s="11">
        <f t="shared" si="32"/>
        <v>142.50317438275485</v>
      </c>
      <c r="AR113" s="11">
        <f t="shared" si="33"/>
        <v>16.726225661231503</v>
      </c>
      <c r="AS113" s="11">
        <f t="shared" si="34"/>
        <v>10.124773981741576</v>
      </c>
      <c r="AT113" s="11">
        <f t="shared" si="35"/>
        <v>48.212347868682158</v>
      </c>
    </row>
    <row r="114" spans="25:46" x14ac:dyDescent="0.25">
      <c r="Y114" s="11">
        <v>112</v>
      </c>
      <c r="Z114" s="11">
        <f t="shared" si="26"/>
        <v>2290.8676527677708</v>
      </c>
      <c r="AA114" s="11" t="str">
        <f t="shared" si="27"/>
        <v>14393.9459765634i</v>
      </c>
      <c r="AB114" s="11">
        <f>$T$6/'5. Current Sense Resistor'!$B$11</f>
        <v>100</v>
      </c>
      <c r="AD114" s="11" t="str">
        <f t="shared" si="22"/>
        <v>0.0049157928239803-0.0283859865677053i</v>
      </c>
      <c r="AE114" s="11" t="str">
        <f t="shared" si="23"/>
        <v>0.98073139699782-0.256506334249337i</v>
      </c>
      <c r="AF114" s="11" t="str">
        <f t="shared" si="28"/>
        <v>-0.0368800008056633-0.436242790477567i</v>
      </c>
      <c r="AG114" s="11">
        <f t="shared" si="18"/>
        <v>0.43779893410455006</v>
      </c>
      <c r="AH114" s="11">
        <f t="shared" si="19"/>
        <v>-1.6551358636212723</v>
      </c>
      <c r="AI114" s="11">
        <f t="shared" si="20"/>
        <v>-94.832299506239508</v>
      </c>
      <c r="AJ114" s="11">
        <f t="shared" si="21"/>
        <v>-7.1745060026013814</v>
      </c>
      <c r="AL114" s="11" t="str">
        <f t="shared" si="24"/>
        <v>0.0154772421474503-0.00657467129082888i</v>
      </c>
      <c r="AM114" s="11" t="str">
        <f t="shared" si="25"/>
        <v>0.941428463245812-0.233465128280591i</v>
      </c>
      <c r="AN114" s="11" t="str">
        <f t="shared" si="29"/>
        <v>-5.39888105564403+4.05999484788499i</v>
      </c>
      <c r="AO114" s="11">
        <f t="shared" si="30"/>
        <v>6.7551073135698347</v>
      </c>
      <c r="AP114" s="11">
        <f t="shared" si="31"/>
        <v>2.4968084789772211</v>
      </c>
      <c r="AQ114" s="11">
        <f t="shared" si="32"/>
        <v>143.05658809787329</v>
      </c>
      <c r="AR114" s="11">
        <f t="shared" si="33"/>
        <v>16.592645054787972</v>
      </c>
      <c r="AS114" s="11">
        <f t="shared" si="34"/>
        <v>9.4181390521865911</v>
      </c>
      <c r="AT114" s="11">
        <f t="shared" si="35"/>
        <v>48.22428859163378</v>
      </c>
    </row>
    <row r="115" spans="25:46" x14ac:dyDescent="0.25">
      <c r="Y115" s="11">
        <v>113</v>
      </c>
      <c r="Z115" s="11">
        <f t="shared" si="26"/>
        <v>2454.708915685027</v>
      </c>
      <c r="AA115" s="11" t="str">
        <f t="shared" si="27"/>
        <v>15423.3909924349i</v>
      </c>
      <c r="AB115" s="11">
        <f>$T$6/'5. Current Sense Resistor'!$B$11</f>
        <v>100</v>
      </c>
      <c r="AD115" s="11" t="str">
        <f t="shared" si="22"/>
        <v>0.00481138026727386-0.0264941237400357i</v>
      </c>
      <c r="AE115" s="11" t="str">
        <f t="shared" si="23"/>
        <v>0.977891645147205-0.274643866426355i</v>
      </c>
      <c r="AF115" s="11" t="str">
        <f t="shared" si="28"/>
        <v>-0.0385489244103384-0.408206853276532i</v>
      </c>
      <c r="AG115" s="11">
        <f t="shared" si="18"/>
        <v>0.41002299281274712</v>
      </c>
      <c r="AH115" s="11">
        <f t="shared" si="19"/>
        <v>-1.6649518785804023</v>
      </c>
      <c r="AI115" s="11">
        <f t="shared" si="20"/>
        <v>-95.39471573503495</v>
      </c>
      <c r="AJ115" s="11">
        <f t="shared" si="21"/>
        <v>-7.7438357743022577</v>
      </c>
      <c r="AL115" s="11" t="str">
        <f t="shared" si="24"/>
        <v>0.0154715769150119-0.00613587556591533i</v>
      </c>
      <c r="AM115" s="11" t="str">
        <f t="shared" si="25"/>
        <v>0.933335702887131-0.24798688107916i</v>
      </c>
      <c r="AN115" s="11" t="str">
        <f t="shared" si="29"/>
        <v>-5.35034103024517+3.96084545530828i</v>
      </c>
      <c r="AO115" s="11">
        <f t="shared" si="30"/>
        <v>6.6569096329123472</v>
      </c>
      <c r="AP115" s="11">
        <f t="shared" si="31"/>
        <v>2.5043299535411165</v>
      </c>
      <c r="AQ115" s="11">
        <f t="shared" si="32"/>
        <v>143.48753684609952</v>
      </c>
      <c r="AR115" s="11">
        <f t="shared" si="33"/>
        <v>16.465453229482886</v>
      </c>
      <c r="AS115" s="11">
        <f t="shared" si="34"/>
        <v>8.7216174551806276</v>
      </c>
      <c r="AT115" s="11">
        <f t="shared" si="35"/>
        <v>48.092821111064566</v>
      </c>
    </row>
    <row r="116" spans="25:46" x14ac:dyDescent="0.25">
      <c r="Y116" s="11">
        <v>114</v>
      </c>
      <c r="Z116" s="11">
        <f t="shared" si="26"/>
        <v>2630.26799189538</v>
      </c>
      <c r="AA116" s="11" t="str">
        <f t="shared" si="27"/>
        <v>16526.4612006218i</v>
      </c>
      <c r="AB116" s="11">
        <f>$T$6/'5. Current Sense Resistor'!$B$11</f>
        <v>100</v>
      </c>
      <c r="AD116" s="11" t="str">
        <f t="shared" si="22"/>
        <v>0.00472042287742659-0.0247280147894273i</v>
      </c>
      <c r="AE116" s="11" t="str">
        <f t="shared" si="23"/>
        <v>0.974635907282009-0.29403113794588i</v>
      </c>
      <c r="AF116" s="11" t="str">
        <f t="shared" si="28"/>
        <v>-0.0400281444394193-0.382106667968962i</v>
      </c>
      <c r="AG116" s="11">
        <f t="shared" si="18"/>
        <v>0.38419755081677132</v>
      </c>
      <c r="AH116" s="11">
        <f t="shared" si="19"/>
        <v>-1.6751721007166593</v>
      </c>
      <c r="AI116" s="11">
        <f t="shared" si="20"/>
        <v>-95.980291329128647</v>
      </c>
      <c r="AJ116" s="11">
        <f t="shared" si="21"/>
        <v>-8.3089081601346919</v>
      </c>
      <c r="AL116" s="11" t="str">
        <f t="shared" si="24"/>
        <v>0.0154666426507072-0.00572636096030532i</v>
      </c>
      <c r="AM116" s="11" t="str">
        <f t="shared" si="25"/>
        <v>0.924215835375468-0.263095772535555i</v>
      </c>
      <c r="AN116" s="11" t="str">
        <f t="shared" si="29"/>
        <v>-5.29624198079066+3.8771943635794i</v>
      </c>
      <c r="AO116" s="11">
        <f t="shared" si="30"/>
        <v>6.5637500906159776</v>
      </c>
      <c r="AP116" s="11">
        <f t="shared" si="31"/>
        <v>2.5096689805855652</v>
      </c>
      <c r="AQ116" s="11">
        <f t="shared" si="32"/>
        <v>143.79344056245262</v>
      </c>
      <c r="AR116" s="11">
        <f t="shared" si="33"/>
        <v>16.343040745815482</v>
      </c>
      <c r="AS116" s="11">
        <f t="shared" si="34"/>
        <v>8.0341325856807906</v>
      </c>
      <c r="AT116" s="11">
        <f t="shared" si="35"/>
        <v>47.813149233323969</v>
      </c>
    </row>
    <row r="117" spans="25:46" x14ac:dyDescent="0.25">
      <c r="Y117" s="11">
        <v>115</v>
      </c>
      <c r="Z117" s="11">
        <f t="shared" si="26"/>
        <v>2818.3829312644511</v>
      </c>
      <c r="AA117" s="11" t="str">
        <f t="shared" si="27"/>
        <v>17708.4222237265i</v>
      </c>
      <c r="AB117" s="11">
        <f>$T$6/'5. Current Sense Resistor'!$B$11</f>
        <v>100</v>
      </c>
      <c r="AD117" s="11" t="str">
        <f t="shared" si="22"/>
        <v>0.00464118875477885-0.0230793633523027i</v>
      </c>
      <c r="AE117" s="11" t="str">
        <f t="shared" si="23"/>
        <v>0.970904045714179-0.314746753594326i</v>
      </c>
      <c r="AF117" s="11" t="str">
        <f t="shared" si="28"/>
        <v>-0.0413457652299774-0.357819213279486i</v>
      </c>
      <c r="AG117" s="11">
        <f t="shared" si="18"/>
        <v>0.3602000301143834</v>
      </c>
      <c r="AH117" s="11">
        <f t="shared" si="19"/>
        <v>-1.6858354655076047</v>
      </c>
      <c r="AI117" s="11">
        <f t="shared" si="20"/>
        <v>-96.591257127058213</v>
      </c>
      <c r="AJ117" s="11">
        <f t="shared" si="21"/>
        <v>-8.8691251041492549</v>
      </c>
      <c r="AL117" s="11" t="str">
        <f t="shared" si="24"/>
        <v>0.0154623450458566-0.00534417432197375i</v>
      </c>
      <c r="AM117" s="11" t="str">
        <f t="shared" si="25"/>
        <v>0.913964701785312-0.278748199280057i</v>
      </c>
      <c r="AN117" s="11" t="str">
        <f t="shared" si="29"/>
        <v>-5.23595029151269+3.80798244549435i</v>
      </c>
      <c r="AO117" s="11">
        <f t="shared" si="30"/>
        <v>6.4742494360647678</v>
      </c>
      <c r="AP117" s="11">
        <f t="shared" si="31"/>
        <v>2.5127940440999472</v>
      </c>
      <c r="AQ117" s="11">
        <f t="shared" si="32"/>
        <v>143.97249351253703</v>
      </c>
      <c r="AR117" s="11">
        <f t="shared" si="33"/>
        <v>16.223788552612138</v>
      </c>
      <c r="AS117" s="11">
        <f t="shared" si="34"/>
        <v>7.3546634484628832</v>
      </c>
      <c r="AT117" s="11">
        <f t="shared" si="35"/>
        <v>47.381236385478815</v>
      </c>
    </row>
    <row r="118" spans="25:46" x14ac:dyDescent="0.25">
      <c r="Y118" s="11">
        <v>116</v>
      </c>
      <c r="Z118" s="11">
        <f t="shared" si="26"/>
        <v>3019.9517204020176</v>
      </c>
      <c r="AA118" s="11" t="str">
        <f t="shared" si="27"/>
        <v>18974.9162780217i</v>
      </c>
      <c r="AB118" s="11">
        <f>$T$6/'5. Current Sense Resistor'!$B$11</f>
        <v>100</v>
      </c>
      <c r="AD118" s="11" t="str">
        <f t="shared" si="22"/>
        <v>0.00457216843930254-0.0215404086627773i</v>
      </c>
      <c r="AE118" s="11" t="str">
        <f t="shared" si="23"/>
        <v>0.966627480740323-0.336872519452898i</v>
      </c>
      <c r="AF118" s="11" t="str">
        <f t="shared" si="28"/>
        <v>-0.0425268053762025-0.335229639014622i</v>
      </c>
      <c r="AG118" s="11">
        <f t="shared" si="18"/>
        <v>0.33791632107576453</v>
      </c>
      <c r="AH118" s="11">
        <f t="shared" si="19"/>
        <v>-1.6969810322698531</v>
      </c>
      <c r="AI118" s="11">
        <f t="shared" si="20"/>
        <v>-97.229851062816337</v>
      </c>
      <c r="AJ118" s="11">
        <f t="shared" si="21"/>
        <v>-9.423816633163538</v>
      </c>
      <c r="AL118" s="11" t="str">
        <f t="shared" si="24"/>
        <v>0.0154586019579381-0.00498749263193632i</v>
      </c>
      <c r="AM118" s="11" t="str">
        <f t="shared" si="25"/>
        <v>0.902474981175662-0.294884160217767i</v>
      </c>
      <c r="AN118" s="11" t="str">
        <f t="shared" si="29"/>
        <v>-5.16881934637831+3.7521109683131i</v>
      </c>
      <c r="AO118" s="11">
        <f t="shared" si="30"/>
        <v>6.3870987274372215</v>
      </c>
      <c r="AP118" s="11">
        <f t="shared" si="31"/>
        <v>2.513686555121021</v>
      </c>
      <c r="AQ118" s="11">
        <f t="shared" si="32"/>
        <v>144.02363062721346</v>
      </c>
      <c r="AR118" s="11">
        <f t="shared" si="33"/>
        <v>16.106072584784297</v>
      </c>
      <c r="AS118" s="11">
        <f t="shared" si="34"/>
        <v>6.6822559516207587</v>
      </c>
      <c r="AT118" s="11">
        <f t="shared" si="35"/>
        <v>46.793779564397127</v>
      </c>
    </row>
    <row r="119" spans="25:46" x14ac:dyDescent="0.25">
      <c r="Y119" s="11">
        <v>117</v>
      </c>
      <c r="Z119" s="11">
        <f t="shared" si="26"/>
        <v>3235.9365692962774</v>
      </c>
      <c r="AA119" s="11" t="str">
        <f t="shared" si="27"/>
        <v>20331.9891071675i</v>
      </c>
      <c r="AB119" s="11">
        <f>$T$6/'5. Current Sense Resistor'!$B$11</f>
        <v>100</v>
      </c>
      <c r="AD119" s="11" t="str">
        <f t="shared" si="22"/>
        <v>0.00451204645807304-0.0201038931897163i</v>
      </c>
      <c r="AE119" s="11" t="str">
        <f t="shared" si="23"/>
        <v>0.961728085054678-0.360493139146843i</v>
      </c>
      <c r="AF119" s="11" t="str">
        <f t="shared" si="28"/>
        <v>-0.043593663147237-0.314230765740146i</v>
      </c>
      <c r="AG119" s="11">
        <f t="shared" si="18"/>
        <v>0.31724025848595144</v>
      </c>
      <c r="AH119" s="11">
        <f t="shared" si="19"/>
        <v>-1.7086478046805551</v>
      </c>
      <c r="AI119" s="11">
        <f t="shared" si="20"/>
        <v>-97.89830788248922</v>
      </c>
      <c r="AJ119" s="11">
        <f t="shared" si="21"/>
        <v>-9.9722340986605467</v>
      </c>
      <c r="AL119" s="11" t="str">
        <f t="shared" si="24"/>
        <v>0.0154553418414573-0.00465461436174288i</v>
      </c>
      <c r="AM119" s="11" t="str">
        <f t="shared" si="25"/>
        <v>0.889638352620633-0.311425074299595i</v>
      </c>
      <c r="AN119" s="11" t="str">
        <f t="shared" si="29"/>
        <v>-5.09420121803535+3.70842555326552i</v>
      </c>
      <c r="AO119" s="11">
        <f t="shared" si="30"/>
        <v>6.3010559538815016</v>
      </c>
      <c r="AP119" s="11">
        <f t="shared" si="31"/>
        <v>2.5123404781474683</v>
      </c>
      <c r="AQ119" s="11">
        <f t="shared" si="32"/>
        <v>143.94650609772916</v>
      </c>
      <c r="AR119" s="11">
        <f t="shared" si="33"/>
        <v>15.988266724040614</v>
      </c>
      <c r="AS119" s="11">
        <f t="shared" si="34"/>
        <v>6.0160326253800669</v>
      </c>
      <c r="AT119" s="11">
        <f t="shared" si="35"/>
        <v>46.048198215239935</v>
      </c>
    </row>
    <row r="120" spans="25:46" x14ac:dyDescent="0.25">
      <c r="Y120" s="11">
        <v>118</v>
      </c>
      <c r="Z120" s="11">
        <f t="shared" si="26"/>
        <v>3467.368504525316</v>
      </c>
      <c r="AA120" s="11" t="str">
        <f t="shared" si="27"/>
        <v>21786.1188422107i</v>
      </c>
      <c r="AB120" s="11">
        <f>$T$6/'5. Current Sense Resistor'!$B$11</f>
        <v>100</v>
      </c>
      <c r="AD120" s="11" t="str">
        <f t="shared" si="22"/>
        <v>0.00445967648387476-0.0187630318033531i</v>
      </c>
      <c r="AE120" s="11" t="str">
        <f t="shared" si="23"/>
        <v>0.956116958696711-0.385695775601594i</v>
      </c>
      <c r="AF120" s="11" t="str">
        <f t="shared" si="28"/>
        <v>-0.0445665312058794-0.294722603024905i</v>
      </c>
      <c r="AG120" s="11">
        <f t="shared" si="18"/>
        <v>0.29807312599008379</v>
      </c>
      <c r="AH120" s="11">
        <f t="shared" si="19"/>
        <v>-1.7208745012578046</v>
      </c>
      <c r="AI120" s="11">
        <f t="shared" si="20"/>
        <v>-98.59884599375269</v>
      </c>
      <c r="AJ120" s="11">
        <f t="shared" si="21"/>
        <v>-10.513543556189484</v>
      </c>
      <c r="AL120" s="11" t="str">
        <f t="shared" si="24"/>
        <v>0.0154525023811123-0.00434395139971572i</v>
      </c>
      <c r="AM120" s="11" t="str">
        <f t="shared" si="25"/>
        <v>0.875348325663451-0.328271756146316i</v>
      </c>
      <c r="AN120" s="11" t="str">
        <f t="shared" si="29"/>
        <v>-5.01146225573852+3.67570127195352i</v>
      </c>
      <c r="AO120" s="11">
        <f t="shared" si="30"/>
        <v>6.214944390847962</v>
      </c>
      <c r="AP120" s="11">
        <f t="shared" si="31"/>
        <v>2.508762210569806</v>
      </c>
      <c r="AQ120" s="11">
        <f t="shared" si="32"/>
        <v>143.74148646756061</v>
      </c>
      <c r="AR120" s="11">
        <f t="shared" si="33"/>
        <v>15.868744941593755</v>
      </c>
      <c r="AS120" s="11">
        <f t="shared" si="34"/>
        <v>5.3552013854042713</v>
      </c>
      <c r="AT120" s="11">
        <f t="shared" si="35"/>
        <v>45.142640473807916</v>
      </c>
    </row>
    <row r="121" spans="25:46" x14ac:dyDescent="0.25">
      <c r="Y121" s="11">
        <v>119</v>
      </c>
      <c r="Z121" s="11">
        <f t="shared" si="26"/>
        <v>3715.352290971724</v>
      </c>
      <c r="AA121" s="11" t="str">
        <f t="shared" si="27"/>
        <v>23344.2469256296i</v>
      </c>
      <c r="AB121" s="11">
        <f>$T$6/'5. Current Sense Resistor'!$B$11</f>
        <v>100</v>
      </c>
      <c r="AD121" s="11" t="str">
        <f t="shared" si="22"/>
        <v>0.00441405965347603-0.0175114824864614i</v>
      </c>
      <c r="AE121" s="11" t="str">
        <f t="shared" si="23"/>
        <v>0.94969308001683-0.412569446635945i</v>
      </c>
      <c r="AF121" s="11" t="str">
        <f t="shared" si="28"/>
        <v>-0.045463767580207-0.276611885429432i</v>
      </c>
      <c r="AG121" s="11">
        <f t="shared" ref="AG121:AG184" si="36">IMABS(AF121)</f>
        <v>0.28032318727392547</v>
      </c>
      <c r="AH121" s="11">
        <f t="shared" ref="AH121:AH184" si="37">IMARGUMENT(AF121)</f>
        <v>-1.7336992739120578</v>
      </c>
      <c r="AI121" s="11">
        <f t="shared" ref="AI121:AI184" si="38">AH121/(PI())*180</f>
        <v>-99.333651340056178</v>
      </c>
      <c r="AJ121" s="11">
        <f t="shared" ref="AJ121:AJ184" si="39">20*LOG(AG121,10)</f>
        <v>-11.046819551135751</v>
      </c>
      <c r="AL121" s="11" t="str">
        <f t="shared" si="24"/>
        <v>0.0154500293011921-0.0040540215094885i</v>
      </c>
      <c r="AM121" s="11" t="str">
        <f t="shared" si="25"/>
        <v>0.859503791397078-0.345302725875389i</v>
      </c>
      <c r="AN121" s="11" t="str">
        <f t="shared" si="29"/>
        <v>-4.92000285939698+3.65262987105462i</v>
      </c>
      <c r="AO121" s="11">
        <f t="shared" si="30"/>
        <v>6.1276531487507473</v>
      </c>
      <c r="AP121" s="11">
        <f t="shared" si="31"/>
        <v>2.5029707272005575</v>
      </c>
      <c r="AQ121" s="11">
        <f t="shared" si="32"/>
        <v>143.40965891338246</v>
      </c>
      <c r="AR121" s="11">
        <f t="shared" si="33"/>
        <v>15.745883488082271</v>
      </c>
      <c r="AS121" s="11">
        <f t="shared" si="34"/>
        <v>4.6990639369465192</v>
      </c>
      <c r="AT121" s="11">
        <f t="shared" si="35"/>
        <v>44.076007573326279</v>
      </c>
    </row>
    <row r="122" spans="25:46" x14ac:dyDescent="0.25">
      <c r="Y122" s="11">
        <v>120</v>
      </c>
      <c r="Z122" s="11">
        <f t="shared" si="26"/>
        <v>3981.0717055349701</v>
      </c>
      <c r="AA122" s="11" t="str">
        <f t="shared" si="27"/>
        <v>25013.8112470457i</v>
      </c>
      <c r="AB122" s="11">
        <f>$T$6/'5. Current Sense Resistor'!$B$11</f>
        <v>100</v>
      </c>
      <c r="AD122" s="11" t="str">
        <f t="shared" si="22"/>
        <v>0.00437432564887911-0.0163433185824211i</v>
      </c>
      <c r="AE122" s="11" t="str">
        <f t="shared" si="23"/>
        <v>0.942341831214178-0.441204216895245i</v>
      </c>
      <c r="AF122" s="11" t="str">
        <f t="shared" si="28"/>
        <v>-0.0463022289097797-0.25981162488393i</v>
      </c>
      <c r="AG122" s="11">
        <f t="shared" si="36"/>
        <v>0.26390524213596367</v>
      </c>
      <c r="AH122" s="11">
        <f t="shared" si="37"/>
        <v>-1.74715937510981</v>
      </c>
      <c r="AI122" s="11">
        <f t="shared" si="38"/>
        <v>-100.10485833050636</v>
      </c>
      <c r="AJ122" s="11">
        <f t="shared" si="39"/>
        <v>-11.57103965993314</v>
      </c>
      <c r="AL122" s="11" t="str">
        <f t="shared" si="24"/>
        <v>0.0154478753285037-0.0037834412865495i</v>
      </c>
      <c r="AM122" s="11" t="str">
        <f t="shared" si="25"/>
        <v>0.842013305514942-0.362373069467049i</v>
      </c>
      <c r="AN122" s="11" t="str">
        <f t="shared" si="29"/>
        <v>-4.81928149506745+3.63781034585091i</v>
      </c>
      <c r="AO122" s="11">
        <f t="shared" si="30"/>
        <v>6.0381402965714095</v>
      </c>
      <c r="AP122" s="11">
        <f t="shared" si="31"/>
        <v>2.4949979748367226</v>
      </c>
      <c r="AQ122" s="11">
        <f t="shared" si="32"/>
        <v>142.95285385183178</v>
      </c>
      <c r="AR122" s="11">
        <f t="shared" si="33"/>
        <v>15.618063993280932</v>
      </c>
      <c r="AS122" s="11">
        <f t="shared" si="34"/>
        <v>4.0470243333477924</v>
      </c>
      <c r="AT122" s="11">
        <f t="shared" si="35"/>
        <v>42.847995521325416</v>
      </c>
    </row>
    <row r="123" spans="25:46" x14ac:dyDescent="0.25">
      <c r="Y123" s="11">
        <v>121</v>
      </c>
      <c r="Z123" s="11">
        <f t="shared" si="26"/>
        <v>4265.7951880159226</v>
      </c>
      <c r="AA123" s="11" t="str">
        <f t="shared" si="27"/>
        <v>26802.781648779i</v>
      </c>
      <c r="AB123" s="11">
        <f>$T$6/'5. Current Sense Resistor'!$B$11</f>
        <v>100</v>
      </c>
      <c r="AD123" s="11" t="str">
        <f t="shared" si="22"/>
        <v>0.00433971619339066-0.0152530025553662i</v>
      </c>
      <c r="AE123" s="11" t="str">
        <f t="shared" si="23"/>
        <v>0.933933401495926-0.471690142129025i</v>
      </c>
      <c r="AF123" s="11" t="str">
        <f t="shared" si="28"/>
        <v>-0.0470975711046307-0.244240677627449i</v>
      </c>
      <c r="AG123" s="11">
        <f t="shared" si="36"/>
        <v>0.24874020545917225</v>
      </c>
      <c r="AH123" s="11">
        <f t="shared" si="37"/>
        <v>-1.7612907776547275</v>
      </c>
      <c r="AI123" s="11">
        <f t="shared" si="38"/>
        <v>-100.91452805493059</v>
      </c>
      <c r="AJ123" s="11">
        <f t="shared" si="39"/>
        <v>-12.085080225617125</v>
      </c>
      <c r="AL123" s="11" t="str">
        <f t="shared" si="24"/>
        <v>0.0154459992890392-0.00353091958055141i</v>
      </c>
      <c r="AM123" s="11" t="str">
        <f t="shared" si="25"/>
        <v>0.822800054654045-0.379314099099538i</v>
      </c>
      <c r="AN123" s="11" t="str">
        <f t="shared" si="29"/>
        <v>-4.70884266585348+3.62974427284204i</v>
      </c>
      <c r="AO123" s="11">
        <f t="shared" si="30"/>
        <v>5.9454388179504205</v>
      </c>
      <c r="AP123" s="11">
        <f t="shared" si="31"/>
        <v>2.4848894748954327</v>
      </c>
      <c r="AQ123" s="11">
        <f t="shared" si="32"/>
        <v>142.37367946798761</v>
      </c>
      <c r="AR123" s="11">
        <f t="shared" si="33"/>
        <v>15.483678286516504</v>
      </c>
      <c r="AS123" s="11">
        <f t="shared" si="34"/>
        <v>3.3985980608993795</v>
      </c>
      <c r="AT123" s="11">
        <f t="shared" si="35"/>
        <v>41.459151413057029</v>
      </c>
    </row>
    <row r="124" spans="25:46" x14ac:dyDescent="0.25">
      <c r="Y124" s="11">
        <v>122</v>
      </c>
      <c r="Z124" s="11">
        <f t="shared" si="26"/>
        <v>4570.881896148745</v>
      </c>
      <c r="AA124" s="11" t="str">
        <f t="shared" si="27"/>
        <v>28719.697970735i</v>
      </c>
      <c r="AB124" s="11">
        <f>$T$6/'5. Current Sense Resistor'!$B$11</f>
        <v>100</v>
      </c>
      <c r="AD124" s="11" t="str">
        <f t="shared" si="22"/>
        <v>0.00430957065726907-0.0142353612248407i</v>
      </c>
      <c r="AE124" s="11" t="str">
        <f t="shared" si="23"/>
        <v>0.924321077244776-0.504115914739383i</v>
      </c>
      <c r="AF124" s="11" t="str">
        <f t="shared" si="28"/>
        <v>-0.0478645216957528-0.22982332345478i</v>
      </c>
      <c r="AG124" s="11">
        <f t="shared" si="36"/>
        <v>0.23475470696231759</v>
      </c>
      <c r="AH124" s="11">
        <f t="shared" si="37"/>
        <v>-1.7761277557228334</v>
      </c>
      <c r="AI124" s="11">
        <f t="shared" si="38"/>
        <v>-101.76462427896119</v>
      </c>
      <c r="AJ124" s="11">
        <f t="shared" si="39"/>
        <v>-12.587713822577417</v>
      </c>
      <c r="AL124" s="11" t="str">
        <f t="shared" si="24"/>
        <v>0.0154443653211471-0.00329525135311492i</v>
      </c>
      <c r="AM124" s="11" t="str">
        <f t="shared" si="25"/>
        <v>0.801807377598739-0.395934080907841i</v>
      </c>
      <c r="AN124" s="11" t="str">
        <f t="shared" si="29"/>
        <v>-4.58834809803005+3.62683741539313i</v>
      </c>
      <c r="AO124" s="11">
        <f t="shared" si="30"/>
        <v>5.8486654808076937</v>
      </c>
      <c r="AP124" s="11">
        <f t="shared" si="31"/>
        <v>2.4727050661689143</v>
      </c>
      <c r="AQ124" s="11">
        <f t="shared" si="32"/>
        <v>141.67556427209576</v>
      </c>
      <c r="AR124" s="11">
        <f t="shared" si="33"/>
        <v>15.341135644931242</v>
      </c>
      <c r="AS124" s="11">
        <f t="shared" si="34"/>
        <v>2.7534218223538254</v>
      </c>
      <c r="AT124" s="11">
        <f t="shared" si="35"/>
        <v>39.910939993134562</v>
      </c>
    </row>
    <row r="125" spans="25:46" x14ac:dyDescent="0.25">
      <c r="Y125" s="11">
        <v>123</v>
      </c>
      <c r="Z125" s="11">
        <f t="shared" si="26"/>
        <v>4897.7881936844633</v>
      </c>
      <c r="AA125" s="11" t="str">
        <f t="shared" si="27"/>
        <v>30773.7108162359i</v>
      </c>
      <c r="AB125" s="11">
        <f>$T$6/'5. Current Sense Resistor'!$B$11</f>
        <v>100</v>
      </c>
      <c r="AD125" s="11" t="str">
        <f t="shared" si="22"/>
        <v>0.00428331350556276-0.0132855624281326i</v>
      </c>
      <c r="AE125" s="11" t="str">
        <f t="shared" si="23"/>
        <v>0.91333943725806-0.538567152062062i</v>
      </c>
      <c r="AF125" s="11" t="str">
        <f t="shared" si="28"/>
        <v>-0.0486171272951999-0.216488854632632i</v>
      </c>
      <c r="AG125" s="11">
        <f t="shared" si="36"/>
        <v>0.22188070949631142</v>
      </c>
      <c r="AH125" s="11">
        <f t="shared" si="37"/>
        <v>-1.7917024416232052</v>
      </c>
      <c r="AI125" s="11">
        <f t="shared" si="38"/>
        <v>-102.65698804829442</v>
      </c>
      <c r="AJ125" s="11">
        <f t="shared" si="39"/>
        <v>-13.077609081405745</v>
      </c>
      <c r="AL125" s="11" t="str">
        <f t="shared" si="24"/>
        <v>0.0154429421901871-0.00307531194272049i</v>
      </c>
      <c r="AM125" s="11" t="str">
        <f t="shared" si="25"/>
        <v>0.779004616178428-0.412020290806166i</v>
      </c>
      <c r="AN125" s="11" t="str">
        <f t="shared" si="29"/>
        <v>-4.45760985101253+3.62740907824984i</v>
      </c>
      <c r="AO125" s="11">
        <f t="shared" si="30"/>
        <v>5.7470324694413648</v>
      </c>
      <c r="AP125" s="11">
        <f t="shared" si="31"/>
        <v>2.4585196957158906</v>
      </c>
      <c r="AQ125" s="11">
        <f t="shared" si="32"/>
        <v>140.86280241430791</v>
      </c>
      <c r="AR125" s="11">
        <f t="shared" si="33"/>
        <v>15.18887301613621</v>
      </c>
      <c r="AS125" s="11">
        <f t="shared" si="34"/>
        <v>2.1112639347304647</v>
      </c>
      <c r="AT125" s="11">
        <f t="shared" si="35"/>
        <v>38.205814366013485</v>
      </c>
    </row>
    <row r="126" spans="25:46" x14ac:dyDescent="0.25">
      <c r="Y126" s="11">
        <v>124</v>
      </c>
      <c r="Z126" s="11">
        <f t="shared" si="26"/>
        <v>5248.0746024977261</v>
      </c>
      <c r="AA126" s="11" t="str">
        <f t="shared" si="27"/>
        <v>32974.6252333961i</v>
      </c>
      <c r="AB126" s="11">
        <f>$T$6/'5. Current Sense Resistor'!$B$11</f>
        <v>100</v>
      </c>
      <c r="AD126" s="11" t="str">
        <f t="shared" si="22"/>
        <v>0.00426044335409446-0.0123990930569974i</v>
      </c>
      <c r="AE126" s="11" t="str">
        <f t="shared" si="23"/>
        <v>0.900802482715983-0.575124261329021i</v>
      </c>
      <c r="AF126" s="11" t="str">
        <f t="shared" si="28"/>
        <v>-0.0493689786950419-0.204171171502793i</v>
      </c>
      <c r="AG126" s="11">
        <f t="shared" si="36"/>
        <v>0.21005514354619936</v>
      </c>
      <c r="AH126" s="11">
        <f t="shared" si="37"/>
        <v>-1.8080443796602821</v>
      </c>
      <c r="AI126" s="11">
        <f t="shared" si="38"/>
        <v>-103.59331212688322</v>
      </c>
      <c r="AJ126" s="11">
        <f t="shared" si="39"/>
        <v>-13.553333591600261</v>
      </c>
      <c r="AL126" s="11" t="str">
        <f t="shared" si="24"/>
        <v>0.0154417026915851-0.00287005171005559i</v>
      </c>
      <c r="AM126" s="11" t="str">
        <f t="shared" si="25"/>
        <v>0.754392964348535-0.427342617294278i</v>
      </c>
      <c r="AN126" s="11" t="str">
        <f t="shared" si="29"/>
        <v>-4.31662345362896+3.62971044936951i</v>
      </c>
      <c r="AO126" s="11">
        <f t="shared" si="30"/>
        <v>5.6398613446326689</v>
      </c>
      <c r="AP126" s="11">
        <f t="shared" si="31"/>
        <v>2.4424241455222173</v>
      </c>
      <c r="AQ126" s="11">
        <f t="shared" si="32"/>
        <v>139.94059531926945</v>
      </c>
      <c r="AR126" s="11">
        <f t="shared" si="33"/>
        <v>15.025368540655746</v>
      </c>
      <c r="AS126" s="11">
        <f t="shared" si="34"/>
        <v>1.4720349490554856</v>
      </c>
      <c r="AT126" s="11">
        <f t="shared" si="35"/>
        <v>36.347283192386229</v>
      </c>
    </row>
    <row r="127" spans="25:46" x14ac:dyDescent="0.25">
      <c r="Y127" s="11">
        <v>125</v>
      </c>
      <c r="Z127" s="11">
        <f t="shared" si="26"/>
        <v>5623.4132519034893</v>
      </c>
      <c r="AA127" s="11" t="str">
        <f t="shared" si="27"/>
        <v>35332.947520559i</v>
      </c>
      <c r="AB127" s="11">
        <f>$T$6/'5. Current Sense Resistor'!$B$11</f>
        <v>100</v>
      </c>
      <c r="AD127" s="11" t="str">
        <f t="shared" si="22"/>
        <v>0.00424052342886374-0.0115717384112268i</v>
      </c>
      <c r="AE127" s="11" t="str">
        <f t="shared" si="23"/>
        <v>0.886501746694098-0.613859808238155i</v>
      </c>
      <c r="AF127" s="11" t="str">
        <f t="shared" si="28"/>
        <v>-0.0501334151884639-0.192808381495674i</v>
      </c>
      <c r="AG127" s="11">
        <f t="shared" si="36"/>
        <v>0.199219555499555</v>
      </c>
      <c r="AH127" s="11">
        <f t="shared" si="37"/>
        <v>-1.8251801060600481</v>
      </c>
      <c r="AI127" s="11">
        <f t="shared" si="38"/>
        <v>-104.57511692848072</v>
      </c>
      <c r="AJ127" s="11">
        <f t="shared" si="39"/>
        <v>-14.013360664762185</v>
      </c>
      <c r="AL127" s="11" t="str">
        <f t="shared" si="24"/>
        <v>0.0154406231308901-0.002678491038861i</v>
      </c>
      <c r="AM127" s="11" t="str">
        <f t="shared" si="25"/>
        <v>0.728010880815049-0.441658845357834i</v>
      </c>
      <c r="AN127" s="11" t="str">
        <f t="shared" si="29"/>
        <v>-4.16559858124021+3.63195268415555i</v>
      </c>
      <c r="AO127" s="11">
        <f t="shared" si="30"/>
        <v>5.5265985777849975</v>
      </c>
      <c r="AP127" s="11">
        <f t="shared" si="31"/>
        <v>2.4245255681391851</v>
      </c>
      <c r="AQ127" s="11">
        <f t="shared" si="32"/>
        <v>138.91508237593339</v>
      </c>
      <c r="AR127" s="11">
        <f t="shared" si="33"/>
        <v>14.849158418524853</v>
      </c>
      <c r="AS127" s="11">
        <f t="shared" si="34"/>
        <v>0.83579775376266774</v>
      </c>
      <c r="AT127" s="11">
        <f t="shared" si="35"/>
        <v>34.33996544745267</v>
      </c>
    </row>
    <row r="128" spans="25:46" x14ac:dyDescent="0.25">
      <c r="Y128" s="11">
        <v>126</v>
      </c>
      <c r="Z128" s="11">
        <f t="shared" si="26"/>
        <v>6025.5958607435741</v>
      </c>
      <c r="AA128" s="11" t="str">
        <f t="shared" si="27"/>
        <v>37859.9353792262i</v>
      </c>
      <c r="AB128" s="11">
        <f>$T$6/'5. Current Sense Resistor'!$B$11</f>
        <v>100</v>
      </c>
      <c r="AD128" s="11" t="str">
        <f t="shared" si="22"/>
        <v>0.00422317324988769-0.0107995628089931i</v>
      </c>
      <c r="AE128" s="11" t="str">
        <f t="shared" si="23"/>
        <v>0.870204447440232-0.654835310331256i</v>
      </c>
      <c r="AF128" s="11" t="str">
        <f t="shared" si="28"/>
        <v>-0.0509237086638466-0.182342398052883i</v>
      </c>
      <c r="AG128" s="11">
        <f t="shared" si="36"/>
        <v>0.18931976714478693</v>
      </c>
      <c r="AH128" s="11">
        <f t="shared" si="37"/>
        <v>-1.8431327914569302</v>
      </c>
      <c r="AI128" s="11">
        <f t="shared" si="38"/>
        <v>-105.60373003264822</v>
      </c>
      <c r="AJ128" s="11">
        <f t="shared" si="39"/>
        <v>-14.456080767346908</v>
      </c>
      <c r="AL128" s="11" t="str">
        <f t="shared" si="24"/>
        <v>0.0154396828709026-0.00249971566890409i</v>
      </c>
      <c r="AM128" s="11" t="str">
        <f t="shared" si="25"/>
        <v>0.699938548706131-0.454721624308121i</v>
      </c>
      <c r="AN128" s="11" t="str">
        <f t="shared" si="29"/>
        <v>-4.00498432165941+3.63234473863925i</v>
      </c>
      <c r="AO128" s="11">
        <f t="shared" si="30"/>
        <v>5.4068315783883927</v>
      </c>
      <c r="AP128" s="11">
        <f t="shared" si="31"/>
        <v>2.4049476988084546</v>
      </c>
      <c r="AQ128" s="11">
        <f t="shared" si="32"/>
        <v>137.79335309142394</v>
      </c>
      <c r="AR128" s="11">
        <f t="shared" si="33"/>
        <v>14.658856832179179</v>
      </c>
      <c r="AS128" s="11">
        <f t="shared" si="34"/>
        <v>0.20277606483227117</v>
      </c>
      <c r="AT128" s="11">
        <f t="shared" si="35"/>
        <v>32.189623058775723</v>
      </c>
    </row>
    <row r="129" spans="25:46" x14ac:dyDescent="0.25">
      <c r="Y129" s="11">
        <v>127</v>
      </c>
      <c r="Z129" s="11">
        <f t="shared" si="26"/>
        <v>6456.5422903465496</v>
      </c>
      <c r="AA129" s="11" t="str">
        <f t="shared" si="27"/>
        <v>40567.6516538891i</v>
      </c>
      <c r="AB129" s="11">
        <f>$T$6/'5. Current Sense Resistor'!$B$11</f>
        <v>100</v>
      </c>
      <c r="AD129" s="11" t="str">
        <f t="shared" si="22"/>
        <v>0.00420806138308519-0.0100788913927263i</v>
      </c>
      <c r="AE129" s="11" t="str">
        <f t="shared" si="23"/>
        <v>0.851651773954699-0.698097373113762i</v>
      </c>
      <c r="AF129" s="11" t="str">
        <f t="shared" si="28"/>
        <v>-0.0517532268755629-0.172718535834454i</v>
      </c>
      <c r="AG129" s="11">
        <f t="shared" si="36"/>
        <v>0.18030554376621663</v>
      </c>
      <c r="AH129" s="11">
        <f t="shared" si="37"/>
        <v>-1.861921988776438</v>
      </c>
      <c r="AI129" s="11">
        <f t="shared" si="38"/>
        <v>-106.68027173949453</v>
      </c>
      <c r="AJ129" s="11">
        <f t="shared" si="39"/>
        <v>-14.879818400653079</v>
      </c>
      <c r="AL129" s="11" t="str">
        <f t="shared" si="24"/>
        <v>0.0154388639372252-0.00233287233920007i</v>
      </c>
      <c r="AM129" s="11" t="str">
        <f t="shared" si="25"/>
        <v>0.670300826657468-0.466286949308715i</v>
      </c>
      <c r="AN129" s="11" t="str">
        <f t="shared" si="29"/>
        <v>-3.8354858549785+3.62913997080845i</v>
      </c>
      <c r="AO129" s="11">
        <f t="shared" si="30"/>
        <v>5.2803038427215254</v>
      </c>
      <c r="AP129" s="11">
        <f t="shared" si="31"/>
        <v>2.383830617401725</v>
      </c>
      <c r="AQ129" s="11">
        <f t="shared" si="32"/>
        <v>136.58343345118413</v>
      </c>
      <c r="AR129" s="11">
        <f t="shared" si="33"/>
        <v>14.453178274239377</v>
      </c>
      <c r="AS129" s="11">
        <f t="shared" si="34"/>
        <v>-0.42664012641370164</v>
      </c>
      <c r="AT129" s="11">
        <f t="shared" si="35"/>
        <v>29.903161711689606</v>
      </c>
    </row>
    <row r="130" spans="25:46" x14ac:dyDescent="0.25">
      <c r="Y130" s="11">
        <v>128</v>
      </c>
      <c r="Z130" s="11">
        <f t="shared" si="26"/>
        <v>6918.3097091893569</v>
      </c>
      <c r="AA130" s="11" t="str">
        <f t="shared" si="27"/>
        <v>43469.0219152964i</v>
      </c>
      <c r="AB130" s="11">
        <f>$T$6/'5. Current Sense Resistor'!$B$11</f>
        <v>100</v>
      </c>
      <c r="AD130" s="11" t="str">
        <f t="shared" ref="AD130:AD193" si="40">IMDIV(IMSUM(1,IMDIV(AA130,$W$3)),IMSUM(1,IMDIV(AA130,$W$5)))</f>
        <v>0.00419489912360484-0.00940629306914792i</v>
      </c>
      <c r="AE130" s="11" t="str">
        <f t="shared" ref="AE130:AE193" si="41">IMDIV(IMSUM(1,IMDIV(IMPRODUCT(-1,AA130),$W$4)),IMSUM(1,IMDIV(AA130,$W$1*$W$2),IMDIV(IMPOWER(AA130,2),$W$1^2)))</f>
        <v>0.830557422195955-0.743673087635962i</v>
      </c>
      <c r="AF130" s="11" t="str">
        <f t="shared" si="28"/>
        <v>-0.0526355740096715-0.163885098613372i</v>
      </c>
      <c r="AG130" s="11">
        <f t="shared" si="36"/>
        <v>0.17213026810773949</v>
      </c>
      <c r="AH130" s="11">
        <f t="shared" si="37"/>
        <v>-1.8815635329209688</v>
      </c>
      <c r="AI130" s="11">
        <f t="shared" si="38"/>
        <v>-107.80564932209604</v>
      </c>
      <c r="AJ130" s="11">
        <f t="shared" si="39"/>
        <v>-15.28285509590768</v>
      </c>
      <c r="AL130" s="11" t="str">
        <f t="shared" ref="AL130:AL193" si="42">IMDIV(IMSUM(1,IMDIV(AA130,wz1e)),IMSUM(1,IMDIV(AA130,wp1e)))</f>
        <v>0.0154381506746997-0.00217716472100848i</v>
      </c>
      <c r="AM130" s="11" t="str">
        <f t="shared" ref="AM130:AM193" si="43">IMDIV(IMSUM(1,IMDIV(AA130,wz2e)),IMSUM(1,IMDIV(AA130,wp2e)))</f>
        <v>0.639268160318624-0.476123786471929i</v>
      </c>
      <c r="AN130" s="11" t="str">
        <f t="shared" si="29"/>
        <v>-3.65806951350899+3.62068938912853i</v>
      </c>
      <c r="AO130" s="11">
        <f t="shared" si="30"/>
        <v>5.1469276484337554</v>
      </c>
      <c r="AP130" s="11">
        <f t="shared" si="31"/>
        <v>2.3613299530193843</v>
      </c>
      <c r="AQ130" s="11">
        <f t="shared" si="32"/>
        <v>135.29424034583568</v>
      </c>
      <c r="AR130" s="11">
        <f t="shared" si="33"/>
        <v>14.230961266278584</v>
      </c>
      <c r="AS130" s="11">
        <f t="shared" si="34"/>
        <v>-1.0518938296290958</v>
      </c>
      <c r="AT130" s="11">
        <f t="shared" si="35"/>
        <v>27.48859102373963</v>
      </c>
    </row>
    <row r="131" spans="25:46" x14ac:dyDescent="0.25">
      <c r="Y131" s="11">
        <v>129</v>
      </c>
      <c r="Z131" s="11">
        <f t="shared" ref="Z131:Z194" si="44">10^(LOG($F$3/$F$2,10)*Y131/200)</f>
        <v>7413.1024130091646</v>
      </c>
      <c r="AA131" s="11" t="str">
        <f t="shared" ref="AA131:AA194" si="45">IMPRODUCT(COMPLEX(0,1),2*PI()*Z131)</f>
        <v>46577.8961620367i</v>
      </c>
      <c r="AB131" s="11">
        <f>$T$6/'5. Current Sense Resistor'!$B$11</f>
        <v>100</v>
      </c>
      <c r="AD131" s="11" t="str">
        <f t="shared" si="40"/>
        <v>0.00418343499132967-0.00877856452274797i</v>
      </c>
      <c r="AE131" s="11" t="str">
        <f t="shared" si="41"/>
        <v>0.806606535770464-0.791564615213741i</v>
      </c>
      <c r="AF131" s="11" t="str">
        <f t="shared" ref="AF131:AF194" si="46">IMPRODUCT(AB131,AC$2,AD131,AE131)</f>
        <v>-0.0535847052241717-0.155792956503132i</v>
      </c>
      <c r="AG131" s="11">
        <f t="shared" si="36"/>
        <v>0.16475061738867067</v>
      </c>
      <c r="AH131" s="11">
        <f t="shared" si="37"/>
        <v>-1.9020696375702961</v>
      </c>
      <c r="AI131" s="11">
        <f t="shared" si="38"/>
        <v>-108.9805625727561</v>
      </c>
      <c r="AJ131" s="11">
        <f t="shared" si="39"/>
        <v>-15.66345898499887</v>
      </c>
      <c r="AL131" s="11" t="str">
        <f t="shared" si="42"/>
        <v>0.0154375294481678-0.00203184962145491i</v>
      </c>
      <c r="AM131" s="11" t="str">
        <f t="shared" si="43"/>
        <v>0.607055026929398-0.484024270803139i</v>
      </c>
      <c r="AN131" s="11" t="str">
        <f t="shared" ref="AN131:AN194" si="47">IMPRODUCT($AK$2,AL131,AM131)</f>
        <v>-3.47395377998768+3.60549828288837i</v>
      </c>
      <c r="AO131" s="11">
        <f t="shared" ref="AO131:AO194" si="48">IMABS(AN131)</f>
        <v>5.0067926593181067</v>
      </c>
      <c r="AP131" s="11">
        <f t="shared" ref="AP131:AP194" si="49">IMARGUMENT(AN131)</f>
        <v>2.3376154581069937</v>
      </c>
      <c r="AQ131" s="11">
        <f t="shared" ref="AQ131:AQ194" si="50">AP131/(PI())*180</f>
        <v>133.93549987407124</v>
      </c>
      <c r="AR131" s="11">
        <f t="shared" ref="AR131:AR194" si="51">20*LOG(AO131,10)</f>
        <v>13.991192136432343</v>
      </c>
      <c r="AS131" s="11">
        <f t="shared" ref="AS131:AS194" si="52">AR131+AJ131</f>
        <v>-1.6722668485665277</v>
      </c>
      <c r="AT131" s="11">
        <f t="shared" ref="AT131:AT194" si="53">AQ131+AI131</f>
        <v>24.954937301315141</v>
      </c>
    </row>
    <row r="132" spans="25:46" x14ac:dyDescent="0.25">
      <c r="Y132" s="11">
        <v>130</v>
      </c>
      <c r="Z132" s="11">
        <f t="shared" si="44"/>
        <v>7943.2823472428154</v>
      </c>
      <c r="AA132" s="11" t="str">
        <f t="shared" si="45"/>
        <v>49909.114934975i</v>
      </c>
      <c r="AB132" s="11">
        <f>$T$6/'5. Current Sense Resistor'!$B$11</f>
        <v>100</v>
      </c>
      <c r="AD132" s="11" t="str">
        <f t="shared" si="40"/>
        <v>0.00417344993445857-0.00819271524324475i</v>
      </c>
      <c r="AE132" s="11" t="str">
        <f t="shared" si="41"/>
        <v>0.779455246063881-0.841742900801388i</v>
      </c>
      <c r="AF132" s="11" t="str">
        <f t="shared" si="46"/>
        <v>-0.0546150102537286-0.148395109709522i</v>
      </c>
      <c r="AG132" s="11">
        <f t="shared" si="36"/>
        <v>0.15812624048751667</v>
      </c>
      <c r="AH132" s="11">
        <f t="shared" si="37"/>
        <v>-1.9234492266456076</v>
      </c>
      <c r="AI132" s="11">
        <f t="shared" si="38"/>
        <v>-110.20552279449545</v>
      </c>
      <c r="AJ132" s="11">
        <f t="shared" si="39"/>
        <v>-16.019921089235947</v>
      </c>
      <c r="AL132" s="11" t="str">
        <f t="shared" si="42"/>
        <v>0.0154369883818386-0.00189623343987009i</v>
      </c>
      <c r="AM132" s="11" t="str">
        <f t="shared" si="43"/>
        <v>0.573915671638895-0.489813739368499i</v>
      </c>
      <c r="AN132" s="11" t="str">
        <f t="shared" si="47"/>
        <v>-3.28458484428858+3.58228201691491i</v>
      </c>
      <c r="AO132" s="11">
        <f t="shared" si="48"/>
        <v>4.8601689320477526</v>
      </c>
      <c r="AP132" s="11">
        <f t="shared" si="49"/>
        <v>2.3128689261820576</v>
      </c>
      <c r="AQ132" s="11">
        <f t="shared" si="50"/>
        <v>132.51762803718665</v>
      </c>
      <c r="AR132" s="11">
        <f t="shared" si="51"/>
        <v>13.733027298748299</v>
      </c>
      <c r="AS132" s="11">
        <f t="shared" si="52"/>
        <v>-2.2868937904876478</v>
      </c>
      <c r="AT132" s="11">
        <f t="shared" si="53"/>
        <v>22.312105242691203</v>
      </c>
    </row>
    <row r="133" spans="25:46" x14ac:dyDescent="0.25">
      <c r="Y133" s="11">
        <v>131</v>
      </c>
      <c r="Z133" s="11">
        <f t="shared" si="44"/>
        <v>8511.3803820237626</v>
      </c>
      <c r="AA133" s="11" t="str">
        <f t="shared" si="45"/>
        <v>53478.5801601483i</v>
      </c>
      <c r="AB133" s="11">
        <f>$T$6/'5. Current Sense Resistor'!$B$11</f>
        <v>100</v>
      </c>
      <c r="AD133" s="11" t="str">
        <f t="shared" si="40"/>
        <v>0.00416475315032879-0.00764595350926468i</v>
      </c>
      <c r="AE133" s="11" t="str">
        <f t="shared" si="41"/>
        <v>0.74873105246042-0.894140484539591i</v>
      </c>
      <c r="AF133" s="11" t="str">
        <f t="shared" si="46"/>
        <v>-0.0557413594558897-0.141646236952315i</v>
      </c>
      <c r="AG133" s="11">
        <f t="shared" si="36"/>
        <v>0.15221943238871335</v>
      </c>
      <c r="AH133" s="11">
        <f t="shared" si="37"/>
        <v>-1.9457085218780472</v>
      </c>
      <c r="AI133" s="11">
        <f t="shared" si="38"/>
        <v>-111.4808864662499</v>
      </c>
      <c r="AJ133" s="11">
        <f t="shared" si="39"/>
        <v>-16.350598036659989</v>
      </c>
      <c r="AL133" s="11" t="str">
        <f t="shared" si="42"/>
        <v>0.0154365171322817-0.00176966886010471i</v>
      </c>
      <c r="AM133" s="11" t="str">
        <f t="shared" si="43"/>
        <v>0.540137149471444-0.493359765679973i</v>
      </c>
      <c r="AN133" s="11" t="str">
        <f t="shared" si="47"/>
        <v>-3.09159679593311+3.55001622358095i</v>
      </c>
      <c r="AO133" s="11">
        <f t="shared" si="48"/>
        <v>4.7075031530857014</v>
      </c>
      <c r="AP133" s="11">
        <f t="shared" si="49"/>
        <v>2.2872814839506299</v>
      </c>
      <c r="AQ133" s="11">
        <f t="shared" si="50"/>
        <v>131.05157558879102</v>
      </c>
      <c r="AR133" s="11">
        <f t="shared" si="51"/>
        <v>13.45581239158504</v>
      </c>
      <c r="AS133" s="11">
        <f t="shared" si="52"/>
        <v>-2.8947856450749487</v>
      </c>
      <c r="AT133" s="11">
        <f t="shared" si="53"/>
        <v>19.570689122541125</v>
      </c>
    </row>
    <row r="134" spans="25:46" x14ac:dyDescent="0.25">
      <c r="Y134" s="11">
        <v>132</v>
      </c>
      <c r="Z134" s="11">
        <f t="shared" si="44"/>
        <v>9120.1083935590923</v>
      </c>
      <c r="AA134" s="11" t="str">
        <f t="shared" si="45"/>
        <v>57303.3310582957i</v>
      </c>
      <c r="AB134" s="11">
        <f>$T$6/'5. Current Sense Resistor'!$B$11</f>
        <v>100</v>
      </c>
      <c r="AD134" s="11" t="str">
        <f t="shared" si="40"/>
        <v>0.00415717844423579-0.00713567327247906i</v>
      </c>
      <c r="AE134" s="11" t="str">
        <f t="shared" si="41"/>
        <v>0.714034331443242-0.948643424998884i</v>
      </c>
      <c r="AF134" s="11" t="str">
        <f t="shared" si="46"/>
        <v>-0.0569791039064156-0.135502228189698i</v>
      </c>
      <c r="AG134" s="11">
        <f t="shared" si="36"/>
        <v>0.14699480305898946</v>
      </c>
      <c r="AH134" s="11">
        <f t="shared" si="37"/>
        <v>-1.9688518826820061</v>
      </c>
      <c r="AI134" s="11">
        <f t="shared" si="38"/>
        <v>-112.80690336406523</v>
      </c>
      <c r="AJ134" s="11">
        <f t="shared" si="39"/>
        <v>-16.653960385676054</v>
      </c>
      <c r="AL134" s="11" t="str">
        <f t="shared" si="42"/>
        <v>0.0154361066907082-0.00165155176317239i</v>
      </c>
      <c r="AM134" s="11" t="str">
        <f t="shared" si="43"/>
        <v>0.506029980293509-0.494579365891164i</v>
      </c>
      <c r="AN134" s="11" t="str">
        <f t="shared" si="47"/>
        <v>-2.89675820483801+3.50797665173666i</v>
      </c>
      <c r="AO134" s="11">
        <f t="shared" si="48"/>
        <v>4.5494074654207308</v>
      </c>
      <c r="AP134" s="11">
        <f t="shared" si="49"/>
        <v>2.2610503486023061</v>
      </c>
      <c r="AQ134" s="11">
        <f t="shared" si="50"/>
        <v>129.54864224149566</v>
      </c>
      <c r="AR134" s="11">
        <f t="shared" si="51"/>
        <v>13.159096718832062</v>
      </c>
      <c r="AS134" s="11">
        <f t="shared" si="52"/>
        <v>-3.4948636668439921</v>
      </c>
      <c r="AT134" s="11">
        <f t="shared" si="53"/>
        <v>16.741738877430421</v>
      </c>
    </row>
    <row r="135" spans="25:46" x14ac:dyDescent="0.25">
      <c r="Y135" s="11">
        <v>133</v>
      </c>
      <c r="Z135" s="11">
        <f t="shared" si="44"/>
        <v>9772.3722095580997</v>
      </c>
      <c r="AA135" s="11" t="str">
        <f t="shared" si="45"/>
        <v>61401.6254833856i</v>
      </c>
      <c r="AB135" s="11">
        <f>$T$6/'5. Current Sense Resistor'!$B$11</f>
        <v>100</v>
      </c>
      <c r="AD135" s="11" t="str">
        <f t="shared" si="40"/>
        <v>0.00415058105713568-0.0066594418886547i</v>
      </c>
      <c r="AE135" s="11" t="str">
        <f t="shared" si="41"/>
        <v>0.674941310206553-1.00508241169896i</v>
      </c>
      <c r="AF135" s="11" t="str">
        <f t="shared" si="46"/>
        <v>-0.0583440194465082-0.129919703431505i</v>
      </c>
      <c r="AG135" s="11">
        <f t="shared" si="36"/>
        <v>0.14241893815397144</v>
      </c>
      <c r="AH135" s="11">
        <f t="shared" si="37"/>
        <v>-1.9928828609093276</v>
      </c>
      <c r="AI135" s="11">
        <f t="shared" si="38"/>
        <v>-114.18377699406155</v>
      </c>
      <c r="AJ135" s="11">
        <f t="shared" si="39"/>
        <v>-16.928645131272432</v>
      </c>
      <c r="AL135" s="11" t="str">
        <f t="shared" si="42"/>
        <v>0.0154357492107631-0.00154131834559817i</v>
      </c>
      <c r="AM135" s="11" t="str">
        <f t="shared" si="43"/>
        <v>0.471917010753682-0.493443667840487i</v>
      </c>
      <c r="AN135" s="11" t="str">
        <f t="shared" si="47"/>
        <v>-2.70190847885816+3.45576462005601i</v>
      </c>
      <c r="AO135" s="11">
        <f t="shared" si="48"/>
        <v>4.3866409173029508</v>
      </c>
      <c r="AP135" s="11">
        <f t="shared" si="49"/>
        <v>2.2343751966669112</v>
      </c>
      <c r="AQ135" s="11">
        <f t="shared" si="50"/>
        <v>128.02026861772731</v>
      </c>
      <c r="AR135" s="11">
        <f t="shared" si="51"/>
        <v>12.842641705575534</v>
      </c>
      <c r="AS135" s="11">
        <f t="shared" si="52"/>
        <v>-4.086003425696898</v>
      </c>
      <c r="AT135" s="11">
        <f t="shared" si="53"/>
        <v>13.836491623665765</v>
      </c>
    </row>
    <row r="136" spans="25:46" x14ac:dyDescent="0.25">
      <c r="Y136" s="11">
        <v>134</v>
      </c>
      <c r="Z136" s="11">
        <f t="shared" si="44"/>
        <v>10471.285480509003</v>
      </c>
      <c r="AA136" s="11" t="str">
        <f t="shared" si="45"/>
        <v>65793.0270784171i</v>
      </c>
      <c r="AB136" s="11">
        <f>$T$6/'5. Current Sense Resistor'!$B$11</f>
        <v>100</v>
      </c>
      <c r="AD136" s="11" t="str">
        <f t="shared" si="40"/>
        <v>0.00414483490195951-0.00621498864442141i</v>
      </c>
      <c r="AE136" s="11" t="str">
        <f t="shared" si="41"/>
        <v>0.631008880044074-1.06322323246825i</v>
      </c>
      <c r="AF136" s="11" t="str">
        <f t="shared" si="46"/>
        <v>-0.0598521831357816-0.124855522372749i</v>
      </c>
      <c r="AG136" s="11">
        <f t="shared" si="36"/>
        <v>0.13846004944781423</v>
      </c>
      <c r="AH136" s="11">
        <f t="shared" si="37"/>
        <v>-2.0178053938825347</v>
      </c>
      <c r="AI136" s="11">
        <f t="shared" si="38"/>
        <v>-115.61173294820193</v>
      </c>
      <c r="AJ136" s="11">
        <f t="shared" si="39"/>
        <v>-17.173510352525881</v>
      </c>
      <c r="AL136" s="11" t="str">
        <f t="shared" si="42"/>
        <v>0.0154354378585353-0.00143844242981038i</v>
      </c>
      <c r="AM136" s="11" t="str">
        <f t="shared" si="43"/>
        <v>0.438121306653814-0.489979562877002i</v>
      </c>
      <c r="AN136" s="11" t="str">
        <f t="shared" si="47"/>
        <v>-2.50888869668546+3.39331532913735i</v>
      </c>
      <c r="AO136" s="11">
        <f t="shared" si="48"/>
        <v>4.2200842900722479</v>
      </c>
      <c r="AP136" s="11">
        <f t="shared" si="49"/>
        <v>2.2074543339969548</v>
      </c>
      <c r="AQ136" s="11">
        <f t="shared" si="50"/>
        <v>126.4778168058875</v>
      </c>
      <c r="AR136" s="11">
        <f t="shared" si="51"/>
        <v>12.506422509032864</v>
      </c>
      <c r="AS136" s="11">
        <f t="shared" si="52"/>
        <v>-4.6670878434930163</v>
      </c>
      <c r="AT136" s="11">
        <f t="shared" si="53"/>
        <v>10.866083857685567</v>
      </c>
    </row>
    <row r="137" spans="25:46" x14ac:dyDescent="0.25">
      <c r="Y137" s="11">
        <v>135</v>
      </c>
      <c r="Z137" s="11">
        <f t="shared" si="44"/>
        <v>11220.184543019639</v>
      </c>
      <c r="AA137" s="11" t="str">
        <f t="shared" si="45"/>
        <v>70498.4986645445i</v>
      </c>
      <c r="AB137" s="11">
        <f>$T$6/'5. Current Sense Resistor'!$B$11</f>
        <v>100</v>
      </c>
      <c r="AD137" s="11" t="str">
        <f t="shared" si="40"/>
        <v>0.00413983015598965-0.00580019403098107i</v>
      </c>
      <c r="AE137" s="11" t="str">
        <f t="shared" si="41"/>
        <v>0.581781648727905-1.12275687596009i</v>
      </c>
      <c r="AF137" s="11" t="str">
        <f t="shared" si="46"/>
        <v>-0.0615197696489292-0.120266293409977i</v>
      </c>
      <c r="AG137" s="11">
        <f t="shared" si="36"/>
        <v>0.13508761374838177</v>
      </c>
      <c r="AH137" s="11">
        <f t="shared" si="37"/>
        <v>-2.0436250194951429</v>
      </c>
      <c r="AI137" s="11">
        <f t="shared" si="38"/>
        <v>-117.09108852441226</v>
      </c>
      <c r="AJ137" s="11">
        <f t="shared" si="39"/>
        <v>-17.387689396663191</v>
      </c>
      <c r="AL137" s="11" t="str">
        <f t="shared" si="42"/>
        <v>0.0154351666819208-0.00134243295381288i</v>
      </c>
      <c r="AM137" s="11" t="str">
        <f t="shared" si="43"/>
        <v>0.40495402791348-0.484268166911159i</v>
      </c>
      <c r="AN137" s="11" t="str">
        <f t="shared" si="47"/>
        <v>-2.31947234942667+3.32088803647454i</v>
      </c>
      <c r="AO137" s="11">
        <f t="shared" si="48"/>
        <v>4.0507097317080865</v>
      </c>
      <c r="AP137" s="11">
        <f t="shared" si="49"/>
        <v>2.1804808805684077</v>
      </c>
      <c r="AQ137" s="11">
        <f t="shared" si="50"/>
        <v>124.93235176553908</v>
      </c>
      <c r="AR137" s="11">
        <f t="shared" si="51"/>
        <v>12.150622467058316</v>
      </c>
      <c r="AS137" s="11">
        <f t="shared" si="52"/>
        <v>-5.2370669296048753</v>
      </c>
      <c r="AT137" s="11">
        <f t="shared" si="53"/>
        <v>7.8412632411268248</v>
      </c>
    </row>
    <row r="138" spans="25:46" x14ac:dyDescent="0.25">
      <c r="Y138" s="11">
        <v>136</v>
      </c>
      <c r="Z138" s="11">
        <f t="shared" si="44"/>
        <v>12022.644346174109</v>
      </c>
      <c r="AA138" s="11" t="str">
        <f t="shared" si="45"/>
        <v>75540.5023093269i</v>
      </c>
      <c r="AB138" s="11">
        <f>$T$6/'5. Current Sense Resistor'!$B$11</f>
        <v>100</v>
      </c>
      <c r="AD138" s="11" t="str">
        <f t="shared" si="40"/>
        <v>0.00413547116348695-0.00541307971842807i</v>
      </c>
      <c r="AE138" s="11" t="str">
        <f t="shared" si="41"/>
        <v>0.526801628034071-1.18328969179487i</v>
      </c>
      <c r="AF138" s="11" t="str">
        <f t="shared" si="46"/>
        <v>-0.0633627551420969-0.116107895340263i</v>
      </c>
      <c r="AG138" s="11">
        <f t="shared" si="36"/>
        <v>0.1322720004367621</v>
      </c>
      <c r="AH138" s="11">
        <f t="shared" si="37"/>
        <v>-2.0703499641827197</v>
      </c>
      <c r="AI138" s="11">
        <f t="shared" si="38"/>
        <v>-118.62231506273098</v>
      </c>
      <c r="AJ138" s="11">
        <f t="shared" si="39"/>
        <v>-17.570641565645268</v>
      </c>
      <c r="AL138" s="11" t="str">
        <f t="shared" si="42"/>
        <v>0.0154349304968413-0.00125283162821642i</v>
      </c>
      <c r="AM138" s="11" t="str">
        <f t="shared" si="43"/>
        <v>0.37270324062899-0.476440252449132i</v>
      </c>
      <c r="AN138" s="11" t="str">
        <f t="shared" si="47"/>
        <v>-2.13530143768629+3.23903901259855i</v>
      </c>
      <c r="AO138" s="11">
        <f t="shared" si="48"/>
        <v>3.8795471327102766</v>
      </c>
      <c r="AP138" s="11">
        <f t="shared" si="49"/>
        <v>2.153639185073597</v>
      </c>
      <c r="AQ138" s="11">
        <f t="shared" si="50"/>
        <v>123.39443589871111</v>
      </c>
      <c r="AR138" s="11">
        <f t="shared" si="51"/>
        <v>11.775620649802654</v>
      </c>
      <c r="AS138" s="11">
        <f t="shared" si="52"/>
        <v>-5.7950209158426134</v>
      </c>
      <c r="AT138" s="11">
        <f t="shared" si="53"/>
        <v>4.7721208359801324</v>
      </c>
    </row>
    <row r="139" spans="25:46" x14ac:dyDescent="0.25">
      <c r="Y139" s="11">
        <v>137</v>
      </c>
      <c r="Z139" s="11">
        <f t="shared" si="44"/>
        <v>12882.495516931338</v>
      </c>
      <c r="AA139" s="11" t="str">
        <f t="shared" si="45"/>
        <v>80943.1065517899i</v>
      </c>
      <c r="AB139" s="11">
        <f>$T$6/'5. Current Sense Resistor'!$B$11</f>
        <v>100</v>
      </c>
      <c r="AD139" s="11" t="str">
        <f t="shared" si="40"/>
        <v>0.00413167460863675-0.00505179918678458i</v>
      </c>
      <c r="AE139" s="11" t="str">
        <f t="shared" si="41"/>
        <v>0.465620908513551-1.24433419717112i</v>
      </c>
      <c r="AF139" s="11" t="str">
        <f t="shared" si="46"/>
        <v>-0.0653965174663363-0.112335030581581i</v>
      </c>
      <c r="AG139" s="11">
        <f t="shared" si="36"/>
        <v>0.1299840897667463</v>
      </c>
      <c r="AH139" s="11">
        <f t="shared" si="37"/>
        <v>-2.0979919361520003</v>
      </c>
      <c r="AI139" s="11">
        <f t="shared" si="38"/>
        <v>-120.2060833939897</v>
      </c>
      <c r="AJ139" s="11">
        <f t="shared" si="39"/>
        <v>-17.722196053766442</v>
      </c>
      <c r="AL139" s="11" t="str">
        <f t="shared" si="42"/>
        <v>0.0154347247881443-0.0011692107494948i</v>
      </c>
      <c r="AM139" s="11" t="str">
        <f t="shared" si="43"/>
        <v>0.341624496229703-0.466669121822665i</v>
      </c>
      <c r="AN139" s="11" t="str">
        <f t="shared" si="47"/>
        <v>-1.95783266053338+3.14857995752786i</v>
      </c>
      <c r="AO139" s="11">
        <f t="shared" si="48"/>
        <v>3.7076494542495997</v>
      </c>
      <c r="AP139" s="11">
        <f t="shared" si="49"/>
        <v>2.1271016626478128</v>
      </c>
      <c r="AQ139" s="11">
        <f t="shared" si="50"/>
        <v>121.8739478649799</v>
      </c>
      <c r="AR139" s="11">
        <f t="shared" si="51"/>
        <v>11.381973326699891</v>
      </c>
      <c r="AS139" s="11">
        <f t="shared" si="52"/>
        <v>-6.3402227270665517</v>
      </c>
      <c r="AT139" s="11">
        <f t="shared" si="53"/>
        <v>1.667864470990196</v>
      </c>
    </row>
    <row r="140" spans="25:46" x14ac:dyDescent="0.25">
      <c r="Y140" s="11">
        <v>138</v>
      </c>
      <c r="Z140" s="11">
        <f t="shared" si="44"/>
        <v>13803.842646028841</v>
      </c>
      <c r="AA140" s="11" t="str">
        <f t="shared" si="45"/>
        <v>86732.1012961474i</v>
      </c>
      <c r="AB140" s="11">
        <f>$T$6/'5. Current Sense Resistor'!$B$11</f>
        <v>100</v>
      </c>
      <c r="AD140" s="11" t="str">
        <f t="shared" si="40"/>
        <v>0.00412836792400943-0.00471462897224781i</v>
      </c>
      <c r="AE140" s="11" t="str">
        <f t="shared" si="41"/>
        <v>0.397817572788799-1.30530130045998i</v>
      </c>
      <c r="AF140" s="11" t="str">
        <f t="shared" si="46"/>
        <v>-0.0676353248380931-0.108900834800304i</v>
      </c>
      <c r="AG140" s="11">
        <f t="shared" si="36"/>
        <v>0.12819488673951654</v>
      </c>
      <c r="AH140" s="11">
        <f t="shared" si="37"/>
        <v>-2.1265664595622162</v>
      </c>
      <c r="AI140" s="11">
        <f t="shared" si="38"/>
        <v>-121.84328298699283</v>
      </c>
      <c r="AJ140" s="11">
        <f t="shared" si="39"/>
        <v>-17.84258594019726</v>
      </c>
      <c r="AL140" s="11" t="str">
        <f t="shared" si="42"/>
        <v>0.0154345456232891-0.00109117115906836i</v>
      </c>
      <c r="AM140" s="11" t="str">
        <f t="shared" si="43"/>
        <v>0.311933781171903-0.455161624156803i</v>
      </c>
      <c r="AN140" s="11" t="str">
        <f t="shared" si="47"/>
        <v>-1.78829713973076+3.05052588300877i</v>
      </c>
      <c r="AO140" s="11">
        <f t="shared" si="48"/>
        <v>3.5360592221957559</v>
      </c>
      <c r="AP140" s="11">
        <f t="shared" si="49"/>
        <v>2.1010262082046283</v>
      </c>
      <c r="AQ140" s="11">
        <f t="shared" si="50"/>
        <v>120.37993437649978</v>
      </c>
      <c r="AR140" s="11">
        <f t="shared" si="51"/>
        <v>10.970390599996289</v>
      </c>
      <c r="AS140" s="11">
        <f t="shared" si="52"/>
        <v>-6.872195340200971</v>
      </c>
      <c r="AT140" s="11">
        <f t="shared" si="53"/>
        <v>-1.4633486104930569</v>
      </c>
    </row>
    <row r="141" spans="25:46" x14ac:dyDescent="0.25">
      <c r="Y141" s="11">
        <v>139</v>
      </c>
      <c r="Z141" s="11">
        <f t="shared" si="44"/>
        <v>14791.083881682063</v>
      </c>
      <c r="AA141" s="11" t="str">
        <f t="shared" si="45"/>
        <v>92935.1209226455i</v>
      </c>
      <c r="AB141" s="11">
        <f>$T$6/'5. Current Sense Resistor'!$B$11</f>
        <v>100</v>
      </c>
      <c r="AD141" s="11" t="str">
        <f t="shared" si="40"/>
        <v>0.00412548790420391-0.00439996048948035i</v>
      </c>
      <c r="AE141" s="11" t="str">
        <f t="shared" si="41"/>
        <v>0.323014925519216-1.36549489261936i</v>
      </c>
      <c r="AF141" s="11" t="str">
        <f t="shared" si="46"/>
        <v>-0.0700917107020231-0.105756573838939i</v>
      </c>
      <c r="AG141" s="11">
        <f t="shared" si="36"/>
        <v>0.12687513869662193</v>
      </c>
      <c r="AH141" s="11">
        <f t="shared" si="37"/>
        <v>-2.1560926148028345</v>
      </c>
      <c r="AI141" s="11">
        <f t="shared" si="38"/>
        <v>-123.53500706752835</v>
      </c>
      <c r="AJ141" s="11">
        <f t="shared" si="39"/>
        <v>-17.932469399659023</v>
      </c>
      <c r="AL141" s="11" t="str">
        <f t="shared" si="42"/>
        <v>0.0154343895771705-0.00101834033850534i</v>
      </c>
      <c r="AM141" s="11" t="str">
        <f t="shared" si="43"/>
        <v>0.283803155168839-0.442148143202867i</v>
      </c>
      <c r="AN141" s="11" t="str">
        <f t="shared" si="47"/>
        <v>-1.62767549353492+2.9460371773874i</v>
      </c>
      <c r="AO141" s="11">
        <f t="shared" si="48"/>
        <v>3.365778151156559</v>
      </c>
      <c r="AP141" s="11">
        <f t="shared" si="49"/>
        <v>2.0755542843097539</v>
      </c>
      <c r="AQ141" s="11">
        <f t="shared" si="50"/>
        <v>118.92050064124503</v>
      </c>
      <c r="AR141" s="11">
        <f t="shared" si="51"/>
        <v>10.541709737824371</v>
      </c>
      <c r="AS141" s="11">
        <f t="shared" si="52"/>
        <v>-7.3907596618346521</v>
      </c>
      <c r="AT141" s="11">
        <f t="shared" si="53"/>
        <v>-4.6145064262833273</v>
      </c>
    </row>
    <row r="142" spans="25:46" x14ac:dyDescent="0.25">
      <c r="Y142" s="11">
        <v>140</v>
      </c>
      <c r="Z142" s="11">
        <f t="shared" si="44"/>
        <v>15848.931924611119</v>
      </c>
      <c r="AA142" s="11" t="str">
        <f t="shared" si="45"/>
        <v>99581.7762032061i</v>
      </c>
      <c r="AB142" s="11">
        <f>$T$6/'5. Current Sense Resistor'!$B$11</f>
        <v>100</v>
      </c>
      <c r="AD142" s="11" t="str">
        <f t="shared" si="40"/>
        <v>0.00412297949824264-0.00410629239303622i</v>
      </c>
      <c r="AE142" s="11" t="str">
        <f t="shared" si="41"/>
        <v>0.240903860706747-1.42410991034691i</v>
      </c>
      <c r="AF142" s="11" t="str">
        <f t="shared" si="46"/>
        <v>-0.0727757409350803-0.102851463953016i</v>
      </c>
      <c r="AG142" s="11">
        <f t="shared" si="36"/>
        <v>0.125994968573862</v>
      </c>
      <c r="AH142" s="11">
        <f t="shared" si="37"/>
        <v>-2.1865921056168776</v>
      </c>
      <c r="AI142" s="11">
        <f t="shared" si="38"/>
        <v>-125.28249916847105</v>
      </c>
      <c r="AJ142" s="11">
        <f t="shared" si="39"/>
        <v>-17.992935949114941</v>
      </c>
      <c r="AL142" s="11" t="str">
        <f t="shared" si="42"/>
        <v>0.0154342536666425-0.00095037063177537i</v>
      </c>
      <c r="AM142" s="11" t="str">
        <f t="shared" si="43"/>
        <v>0.257359101912045-0.427872391760514i</v>
      </c>
      <c r="AN142" s="11" t="str">
        <f t="shared" si="47"/>
        <v>-1.47668839619545+2.83636061928661i</v>
      </c>
      <c r="AO142" s="11">
        <f t="shared" si="48"/>
        <v>3.1977414188921229</v>
      </c>
      <c r="AP142" s="11">
        <f t="shared" si="49"/>
        <v>2.0508097242634022</v>
      </c>
      <c r="AQ142" s="11">
        <f t="shared" si="50"/>
        <v>117.50274178468105</v>
      </c>
      <c r="AR142" s="11">
        <f t="shared" si="51"/>
        <v>10.096866843684856</v>
      </c>
      <c r="AS142" s="11">
        <f t="shared" si="52"/>
        <v>-7.8960691054300849</v>
      </c>
      <c r="AT142" s="11">
        <f t="shared" si="53"/>
        <v>-7.7797573837899989</v>
      </c>
    </row>
    <row r="143" spans="25:46" x14ac:dyDescent="0.25">
      <c r="Y143" s="11">
        <v>141</v>
      </c>
      <c r="Z143" s="11">
        <f t="shared" si="44"/>
        <v>16982.436524617453</v>
      </c>
      <c r="AA143" s="11" t="str">
        <f t="shared" si="45"/>
        <v>106703.795651586i</v>
      </c>
      <c r="AB143" s="11">
        <f>$T$6/'5. Current Sense Resistor'!$B$11</f>
        <v>100</v>
      </c>
      <c r="AD143" s="11" t="str">
        <f t="shared" si="40"/>
        <v>0.00412079475768582-0.00383222344318877i</v>
      </c>
      <c r="AE143" s="11" t="str">
        <f t="shared" si="41"/>
        <v>0.151267841492359-1.48023506535116i</v>
      </c>
      <c r="AF143" s="11" t="str">
        <f t="shared" si="46"/>
        <v>-0.0756941908649827-0.100132654425714i</v>
      </c>
      <c r="AG143" s="11">
        <f t="shared" si="36"/>
        <v>0.12552353967700197</v>
      </c>
      <c r="AH143" s="11">
        <f t="shared" si="37"/>
        <v>-2.2180876503709257</v>
      </c>
      <c r="AI143" s="11">
        <f t="shared" si="38"/>
        <v>-127.08706095634339</v>
      </c>
      <c r="AJ143" s="11">
        <f t="shared" si="39"/>
        <v>-18.025496448888518</v>
      </c>
      <c r="AL143" s="11" t="str">
        <f t="shared" si="42"/>
        <v>0.0154341352934905-0.000886937586090945i</v>
      </c>
      <c r="AM143" s="11" t="str">
        <f t="shared" si="43"/>
        <v>0.232683359009046-0.412581755178118i</v>
      </c>
      <c r="AN143" s="11" t="str">
        <f t="shared" si="47"/>
        <v>-1.33580129120684+2.72277357436998i</v>
      </c>
      <c r="AO143" s="11">
        <f t="shared" si="48"/>
        <v>3.0327975578461119</v>
      </c>
      <c r="AP143" s="11">
        <f t="shared" si="49"/>
        <v>2.0268982358185568</v>
      </c>
      <c r="AQ143" s="11">
        <f t="shared" si="50"/>
        <v>116.13271441491555</v>
      </c>
      <c r="AR143" s="11">
        <f t="shared" si="51"/>
        <v>9.6368684340759216</v>
      </c>
      <c r="AS143" s="11">
        <f t="shared" si="52"/>
        <v>-8.3886280148125962</v>
      </c>
      <c r="AT143" s="11">
        <f t="shared" si="53"/>
        <v>-10.954346541427839</v>
      </c>
    </row>
    <row r="144" spans="25:46" x14ac:dyDescent="0.25">
      <c r="Y144" s="11">
        <v>142</v>
      </c>
      <c r="Z144" s="11">
        <f t="shared" si="44"/>
        <v>18197.008586099837</v>
      </c>
      <c r="AA144" s="11" t="str">
        <f t="shared" si="45"/>
        <v>114335.176982803i</v>
      </c>
      <c r="AB144" s="11">
        <f>$T$6/'5. Current Sense Resistor'!$B$11</f>
        <v>100</v>
      </c>
      <c r="AD144" s="11" t="str">
        <f t="shared" si="40"/>
        <v>0.00411889192039716-0.00357644584351211i</v>
      </c>
      <c r="AE144" s="11" t="str">
        <f t="shared" si="41"/>
        <v>0.0540095444477554-1.53286141913377i</v>
      </c>
      <c r="AF144" s="11" t="str">
        <f t="shared" si="46"/>
        <v>-0.0788496634683814-0.0975454112229709i</v>
      </c>
      <c r="AG144" s="11">
        <f t="shared" si="36"/>
        <v>0.1254287713394957</v>
      </c>
      <c r="AH144" s="11">
        <f t="shared" si="37"/>
        <v>-2.2506007822941712</v>
      </c>
      <c r="AI144" s="11">
        <f t="shared" si="38"/>
        <v>-128.94992619429743</v>
      </c>
      <c r="AJ144" s="11">
        <f t="shared" si="39"/>
        <v>-18.032056638404661</v>
      </c>
      <c r="AL144" s="11" t="str">
        <f t="shared" si="42"/>
        <v>0.0154340321947619-0.00082773840343442i</v>
      </c>
      <c r="AM144" s="11" t="str">
        <f t="shared" si="43"/>
        <v>0.209815805034478-0.396518761411744i</v>
      </c>
      <c r="AN144" s="11" t="str">
        <f t="shared" si="47"/>
        <v>-1.20524084868745+2.60653466791105i</v>
      </c>
      <c r="AO144" s="11">
        <f t="shared" si="48"/>
        <v>2.8716943567112101</v>
      </c>
      <c r="AP144" s="11">
        <f t="shared" si="49"/>
        <v>2.0039075448767423</v>
      </c>
      <c r="AQ144" s="11">
        <f t="shared" si="50"/>
        <v>114.81544485585995</v>
      </c>
      <c r="AR144" s="11">
        <f t="shared" si="51"/>
        <v>9.1627642945708345</v>
      </c>
      <c r="AS144" s="11">
        <f t="shared" si="52"/>
        <v>-8.8692923438338269</v>
      </c>
      <c r="AT144" s="11">
        <f t="shared" si="53"/>
        <v>-14.134481338437482</v>
      </c>
    </row>
    <row r="145" spans="25:46" x14ac:dyDescent="0.25">
      <c r="Y145" s="11">
        <v>143</v>
      </c>
      <c r="Z145" s="11">
        <f t="shared" si="44"/>
        <v>19498.445997580417</v>
      </c>
      <c r="AA145" s="11" t="str">
        <f t="shared" si="45"/>
        <v>122512.349404832i</v>
      </c>
      <c r="AB145" s="11">
        <f>$T$6/'5. Current Sense Resistor'!$B$11</f>
        <v>100</v>
      </c>
      <c r="AD145" s="11" t="str">
        <f t="shared" si="40"/>
        <v>0.00411723461247646-0.00333773901955581i</v>
      </c>
      <c r="AE145" s="11" t="str">
        <f t="shared" si="41"/>
        <v>-0.0508222500027268-1.58089781735334i</v>
      </c>
      <c r="AF145" s="11" t="str">
        <f t="shared" si="46"/>
        <v>-0.0822396955740761-0.0950335350030855i</v>
      </c>
      <c r="AG145" s="11">
        <f t="shared" si="36"/>
        <v>0.12567712720817337</v>
      </c>
      <c r="AH145" s="11">
        <f t="shared" si="37"/>
        <v>-2.2841492289558918</v>
      </c>
      <c r="AI145" s="11">
        <f t="shared" si="38"/>
        <v>-130.87211059723376</v>
      </c>
      <c r="AJ145" s="11">
        <f t="shared" si="39"/>
        <v>-18.014875103584675</v>
      </c>
      <c r="AL145" s="11" t="str">
        <f t="shared" si="42"/>
        <v>0.0154339423995056-0.000772490495393364i</v>
      </c>
      <c r="AM145" s="11" t="str">
        <f t="shared" si="43"/>
        <v>0.188758874980028-0.379914055092608i</v>
      </c>
      <c r="AN145" s="11" t="str">
        <f t="shared" si="47"/>
        <v>-1.08502014882756+2.48884308442088i</v>
      </c>
      <c r="AO145" s="11">
        <f t="shared" si="48"/>
        <v>2.7150706477422317</v>
      </c>
      <c r="AP145" s="11">
        <f t="shared" si="49"/>
        <v>1.9819080853231568</v>
      </c>
      <c r="AQ145" s="11">
        <f t="shared" si="50"/>
        <v>113.55496867187074</v>
      </c>
      <c r="AR145" s="11">
        <f t="shared" si="51"/>
        <v>8.6756226934175782</v>
      </c>
      <c r="AS145" s="11">
        <f t="shared" si="52"/>
        <v>-9.3392524101670968</v>
      </c>
      <c r="AT145" s="11">
        <f t="shared" si="53"/>
        <v>-17.317141925363018</v>
      </c>
    </row>
    <row r="146" spans="25:46" x14ac:dyDescent="0.25">
      <c r="Y146" s="11">
        <v>144</v>
      </c>
      <c r="Z146" s="11">
        <f t="shared" si="44"/>
        <v>20892.961308540387</v>
      </c>
      <c r="AA146" s="11" t="str">
        <f t="shared" si="45"/>
        <v>131274.347517293i</v>
      </c>
      <c r="AB146" s="11">
        <f>$T$6/'5. Current Sense Resistor'!$B$11</f>
        <v>100</v>
      </c>
      <c r="AD146" s="11" t="str">
        <f t="shared" si="40"/>
        <v>0.00411579115312587-0.00311496380984443i</v>
      </c>
      <c r="AE146" s="11" t="str">
        <f t="shared" si="41"/>
        <v>-0.163007402610108-1.6231938445314i</v>
      </c>
      <c r="AF146" s="11" t="str">
        <f t="shared" si="46"/>
        <v>-0.0858559141356107-0.092540035264091i</v>
      </c>
      <c r="AG146" s="11">
        <f t="shared" si="36"/>
        <v>0.12623349840173392</v>
      </c>
      <c r="AH146" s="11">
        <f t="shared" si="37"/>
        <v>-2.3187441110594622</v>
      </c>
      <c r="AI146" s="11">
        <f t="shared" si="38"/>
        <v>-132.85425133452102</v>
      </c>
      <c r="AJ146" s="11">
        <f t="shared" si="39"/>
        <v>-17.97650763392307</v>
      </c>
      <c r="AL146" s="11" t="str">
        <f t="shared" si="42"/>
        <v>0.0154338641910934-0.000720930134417297i</v>
      </c>
      <c r="AM146" s="11" t="str">
        <f t="shared" si="43"/>
        <v>0.169482948137175-0.36298105265236i</v>
      </c>
      <c r="AN146" s="11" t="str">
        <f t="shared" si="47"/>
        <v>-0.974969417860373+2.3708075019949i</v>
      </c>
      <c r="AO146" s="11">
        <f t="shared" si="48"/>
        <v>2.5634534474568271</v>
      </c>
      <c r="AP146" s="11">
        <f t="shared" si="49"/>
        <v>1.9609541221000568</v>
      </c>
      <c r="AQ146" s="11">
        <f t="shared" si="50"/>
        <v>112.35439501511476</v>
      </c>
      <c r="AR146" s="11">
        <f t="shared" si="51"/>
        <v>8.1765087004303041</v>
      </c>
      <c r="AS146" s="11">
        <f t="shared" si="52"/>
        <v>-9.7999989334927662</v>
      </c>
      <c r="AT146" s="11">
        <f t="shared" si="53"/>
        <v>-20.499856319406263</v>
      </c>
    </row>
    <row r="147" spans="25:46" x14ac:dyDescent="0.25">
      <c r="Y147" s="11">
        <v>145</v>
      </c>
      <c r="Z147" s="11">
        <f t="shared" si="44"/>
        <v>22387.211385683382</v>
      </c>
      <c r="AA147" s="11" t="str">
        <f t="shared" si="45"/>
        <v>140662.997647249i</v>
      </c>
      <c r="AB147" s="11">
        <f>$T$6/'5. Current Sense Resistor'!$B$11</f>
        <v>100</v>
      </c>
      <c r="AD147" s="11" t="str">
        <f t="shared" si="40"/>
        <v>0.00411453394917862-0.00290705704222768i</v>
      </c>
      <c r="AE147" s="11" t="str">
        <f t="shared" si="41"/>
        <v>-0.282133055455109-1.65857040091104i</v>
      </c>
      <c r="AF147" s="11" t="str">
        <f t="shared" si="46"/>
        <v>-0.0896833170904094-0.0900080641191092i</v>
      </c>
      <c r="AG147" s="11">
        <f t="shared" si="36"/>
        <v>0.12706120167387286</v>
      </c>
      <c r="AH147" s="11">
        <f t="shared" si="37"/>
        <v>-2.3543872433841937</v>
      </c>
      <c r="AI147" s="11">
        <f t="shared" si="38"/>
        <v>-134.89645238535445</v>
      </c>
      <c r="AJ147" s="11">
        <f t="shared" si="39"/>
        <v>-17.919740833334167</v>
      </c>
      <c r="AL147" s="11" t="str">
        <f t="shared" si="42"/>
        <v>0.0154337960744038-0.000672811195067183i</v>
      </c>
      <c r="AM147" s="11" t="str">
        <f t="shared" si="43"/>
        <v>0.151932189652148-0.345912281176298i</v>
      </c>
      <c r="AN147" s="11" t="str">
        <f t="shared" si="47"/>
        <v>-0.874769355406173+2.25342467395155i</v>
      </c>
      <c r="AO147" s="11">
        <f t="shared" si="48"/>
        <v>2.4172596439628453</v>
      </c>
      <c r="AP147" s="11">
        <f t="shared" si="49"/>
        <v>1.9410851887230307</v>
      </c>
      <c r="AQ147" s="11">
        <f t="shared" si="50"/>
        <v>111.21598898918457</v>
      </c>
      <c r="AR147" s="11">
        <f t="shared" si="51"/>
        <v>7.6664660316042612</v>
      </c>
      <c r="AS147" s="11">
        <f t="shared" si="52"/>
        <v>-10.253274801729905</v>
      </c>
      <c r="AT147" s="11">
        <f t="shared" si="53"/>
        <v>-23.680463396169884</v>
      </c>
    </row>
    <row r="148" spans="25:46" x14ac:dyDescent="0.25">
      <c r="Y148" s="11">
        <v>146</v>
      </c>
      <c r="Z148" s="11">
        <f t="shared" si="44"/>
        <v>23988.32919019488</v>
      </c>
      <c r="AA148" s="11" t="str">
        <f t="shared" si="45"/>
        <v>150723.11751162i</v>
      </c>
      <c r="AB148" s="11">
        <f>$T$6/'5. Current Sense Resistor'!$B$11</f>
        <v>100</v>
      </c>
      <c r="AD148" s="11" t="str">
        <f t="shared" si="40"/>
        <v>0.00411343896772916-0.00271302647030513i</v>
      </c>
      <c r="AE148" s="11" t="str">
        <f t="shared" si="41"/>
        <v>-0.407578625724979-1.6858572551572i</v>
      </c>
      <c r="AF148" s="11" t="str">
        <f t="shared" si="46"/>
        <v>-0.093699759892202-0.0873820886774176i</v>
      </c>
      <c r="AG148" s="11">
        <f t="shared" si="36"/>
        <v>0.12812210748143499</v>
      </c>
      <c r="AH148" s="11">
        <f t="shared" si="37"/>
        <v>-2.3910688292382005</v>
      </c>
      <c r="AI148" s="11">
        <f t="shared" si="38"/>
        <v>-136.99815244063583</v>
      </c>
      <c r="AJ148" s="11">
        <f t="shared" si="39"/>
        <v>-17.847518524730305</v>
      </c>
      <c r="AL148" s="11" t="str">
        <f t="shared" si="42"/>
        <v>0.0154337367472397-0.000627903979256521i</v>
      </c>
      <c r="AM148" s="11" t="str">
        <f t="shared" si="43"/>
        <v>0.136030407704689-0.328877270760683i</v>
      </c>
      <c r="AN148" s="11" t="str">
        <f t="shared" si="47"/>
        <v>-0.783984552746674+2.13756691201465i</v>
      </c>
      <c r="AO148" s="11">
        <f t="shared" si="48"/>
        <v>2.2768012830032509</v>
      </c>
      <c r="AP148" s="11">
        <f t="shared" si="49"/>
        <v>1.9223277253028768</v>
      </c>
      <c r="AQ148" s="11">
        <f t="shared" si="50"/>
        <v>110.14126550083871</v>
      </c>
      <c r="AR148" s="11">
        <f t="shared" si="51"/>
        <v>7.1465025494025225</v>
      </c>
      <c r="AS148" s="11">
        <f t="shared" si="52"/>
        <v>-10.701015975327781</v>
      </c>
      <c r="AT148" s="11">
        <f t="shared" si="53"/>
        <v>-26.856886939797121</v>
      </c>
    </row>
    <row r="149" spans="25:46" x14ac:dyDescent="0.25">
      <c r="Y149" s="11">
        <v>147</v>
      </c>
      <c r="Z149" s="11">
        <f t="shared" si="44"/>
        <v>25703.957827688606</v>
      </c>
      <c r="AA149" s="11" t="str">
        <f t="shared" si="45"/>
        <v>161502.730159297i</v>
      </c>
      <c r="AB149" s="11">
        <f>$T$6/'5. Current Sense Resistor'!$B$11</f>
        <v>100</v>
      </c>
      <c r="AD149" s="11" t="str">
        <f t="shared" si="40"/>
        <v>0.00411248527679314-0.00253194604625374i</v>
      </c>
      <c r="AE149" s="11" t="str">
        <f t="shared" si="41"/>
        <v>-0.53850953673973-1.70393605132067i</v>
      </c>
      <c r="AF149" s="11" t="str">
        <f t="shared" si="46"/>
        <v>-0.097875726385284-0.0846092523201045i</v>
      </c>
      <c r="AG149" s="11">
        <f t="shared" si="36"/>
        <v>0.12937690440574812</v>
      </c>
      <c r="AH149" s="11">
        <f t="shared" si="37"/>
        <v>-2.4287658122520193</v>
      </c>
      <c r="AI149" s="11">
        <f t="shared" si="38"/>
        <v>-139.15803046770401</v>
      </c>
      <c r="AJ149" s="11">
        <f t="shared" si="39"/>
        <v>-17.762864888239772</v>
      </c>
      <c r="AL149" s="11" t="str">
        <f t="shared" si="42"/>
        <v>0.0154336850754339-0.000585994119882713i</v>
      </c>
      <c r="AM149" s="11" t="str">
        <f t="shared" si="43"/>
        <v>0.121686590970544-0.312021783701825i</v>
      </c>
      <c r="AN149" s="11" t="str">
        <f t="shared" si="47"/>
        <v>-0.702095087833266+2.02397723204762i</v>
      </c>
      <c r="AO149" s="11">
        <f t="shared" si="48"/>
        <v>2.1422934785427383</v>
      </c>
      <c r="AP149" s="11">
        <f t="shared" si="49"/>
        <v>1.9046968156261443</v>
      </c>
      <c r="AQ149" s="11">
        <f t="shared" si="50"/>
        <v>109.13108878738558</v>
      </c>
      <c r="AR149" s="11">
        <f t="shared" si="51"/>
        <v>6.6175793147999471</v>
      </c>
      <c r="AS149" s="11">
        <f t="shared" si="52"/>
        <v>-11.145285573439825</v>
      </c>
      <c r="AT149" s="11">
        <f t="shared" si="53"/>
        <v>-30.02694168031843</v>
      </c>
    </row>
    <row r="150" spans="25:46" x14ac:dyDescent="0.25">
      <c r="Y150" s="11">
        <v>148</v>
      </c>
      <c r="Z150" s="11">
        <f t="shared" si="44"/>
        <v>27542.287033381672</v>
      </c>
      <c r="AA150" s="11" t="str">
        <f t="shared" si="45"/>
        <v>173053.293214267i</v>
      </c>
      <c r="AB150" s="11">
        <f>$T$6/'5. Current Sense Resistor'!$B$11</f>
        <v>100</v>
      </c>
      <c r="AD150" s="11" t="str">
        <f t="shared" si="40"/>
        <v>0.00411165464522356-0.00236295150789778i</v>
      </c>
      <c r="AE150" s="11" t="str">
        <f t="shared" si="41"/>
        <v>-0.673881650238271-1.71178635704068i</v>
      </c>
      <c r="AF150" s="11" t="str">
        <f t="shared" si="46"/>
        <v>-0.102174448949489-0.0816408459476938i</v>
      </c>
      <c r="AG150" s="11">
        <f t="shared" si="36"/>
        <v>0.13078549516359528</v>
      </c>
      <c r="AH150" s="11">
        <f t="shared" si="37"/>
        <v>-2.4674410892067788</v>
      </c>
      <c r="AI150" s="11">
        <f t="shared" si="38"/>
        <v>-141.37396060871129</v>
      </c>
      <c r="AJ150" s="11">
        <f t="shared" si="39"/>
        <v>-17.668808380130461</v>
      </c>
      <c r="AL150" s="11" t="str">
        <f t="shared" si="42"/>
        <v>0.0154336400711682-0.0005468815576201i</v>
      </c>
      <c r="AM150" s="11" t="str">
        <f t="shared" si="43"/>
        <v>0.108799897510663-0.295468120707803i</v>
      </c>
      <c r="AN150" s="11" t="str">
        <f t="shared" si="47"/>
        <v>-0.628524990619242+1.91327067729772i</v>
      </c>
      <c r="AO150" s="11">
        <f t="shared" si="48"/>
        <v>2.0138640342486371</v>
      </c>
      <c r="AP150" s="11">
        <f t="shared" si="49"/>
        <v>1.8881979388010621</v>
      </c>
      <c r="AQ150" s="11">
        <f t="shared" si="50"/>
        <v>108.18577277860216</v>
      </c>
      <c r="AR150" s="11">
        <f t="shared" si="51"/>
        <v>6.080602917511384</v>
      </c>
      <c r="AS150" s="11">
        <f t="shared" si="52"/>
        <v>-11.588205462619076</v>
      </c>
      <c r="AT150" s="11">
        <f t="shared" si="53"/>
        <v>-33.188187830109129</v>
      </c>
    </row>
    <row r="151" spans="25:46" x14ac:dyDescent="0.25">
      <c r="Y151" s="11">
        <v>149</v>
      </c>
      <c r="Z151" s="11">
        <f t="shared" si="44"/>
        <v>29512.092266663854</v>
      </c>
      <c r="AA151" s="11" t="str">
        <f t="shared" si="45"/>
        <v>185429.944514031i</v>
      </c>
      <c r="AB151" s="11">
        <f>$T$6/'5. Current Sense Resistor'!$B$11</f>
        <v>100</v>
      </c>
      <c r="AD151" s="11" t="str">
        <f t="shared" si="40"/>
        <v>0.00411093119424086-0.00220523625928626i</v>
      </c>
      <c r="AE151" s="11" t="str">
        <f t="shared" si="41"/>
        <v>-0.812457578621259-1.70853158240716i</v>
      </c>
      <c r="AF151" s="11" t="str">
        <f t="shared" si="46"/>
        <v>-0.10655241710176-0.078433785483464i</v>
      </c>
      <c r="AG151" s="11">
        <f t="shared" si="36"/>
        <v>0.13230750657273185</v>
      </c>
      <c r="AH151" s="11">
        <f t="shared" si="37"/>
        <v>-2.5070437027296881</v>
      </c>
      <c r="AI151" s="11">
        <f t="shared" si="38"/>
        <v>-143.64302322126173</v>
      </c>
      <c r="AJ151" s="11">
        <f t="shared" si="39"/>
        <v>-17.56831030133954</v>
      </c>
      <c r="AL151" s="11" t="str">
        <f t="shared" si="42"/>
        <v>0.0154336008740879-0.000510379585994501i</v>
      </c>
      <c r="AM151" s="11" t="str">
        <f t="shared" si="43"/>
        <v>0.0972639634659973-0.279316236433285i</v>
      </c>
      <c r="AN151" s="11" t="str">
        <f t="shared" si="47"/>
        <v>-0.562666827310031+1.80594028921716i</v>
      </c>
      <c r="AO151" s="11">
        <f t="shared" si="48"/>
        <v>1.8915639790324026</v>
      </c>
      <c r="AP151" s="11">
        <f t="shared" si="49"/>
        <v>1.8728286696346623</v>
      </c>
      <c r="AQ151" s="11">
        <f t="shared" si="50"/>
        <v>107.30517852116691</v>
      </c>
      <c r="AR151" s="11">
        <f t="shared" si="51"/>
        <v>5.5364207034377602</v>
      </c>
      <c r="AS151" s="11">
        <f t="shared" si="52"/>
        <v>-12.031889597901781</v>
      </c>
      <c r="AT151" s="11">
        <f t="shared" si="53"/>
        <v>-36.33784470009482</v>
      </c>
    </row>
    <row r="152" spans="25:46" x14ac:dyDescent="0.25">
      <c r="Y152" s="11">
        <v>150</v>
      </c>
      <c r="Z152" s="11">
        <f t="shared" si="44"/>
        <v>31622.776601683781</v>
      </c>
      <c r="AA152" s="11" t="str">
        <f t="shared" si="45"/>
        <v>198691.765315922i</v>
      </c>
      <c r="AB152" s="11">
        <f>$T$6/'5. Current Sense Resistor'!$B$11</f>
        <v>100</v>
      </c>
      <c r="AD152" s="11" t="str">
        <f t="shared" si="40"/>
        <v>0.00411030109391939-0.00205804752538092i</v>
      </c>
      <c r="AE152" s="11" t="str">
        <f t="shared" si="41"/>
        <v>-0.952834955927969-1.69348113906434i</v>
      </c>
      <c r="AF152" s="11" t="str">
        <f t="shared" si="46"/>
        <v>-0.11096027768651-0.0749519769310655i</v>
      </c>
      <c r="AG152" s="11">
        <f t="shared" si="36"/>
        <v>0.13390288297920394</v>
      </c>
      <c r="AH152" s="11">
        <f t="shared" si="37"/>
        <v>-2.5475100339992065</v>
      </c>
      <c r="AI152" s="11">
        <f t="shared" si="38"/>
        <v>-145.9615732153834</v>
      </c>
      <c r="AJ152" s="11">
        <f t="shared" si="39"/>
        <v>-17.464201447290673</v>
      </c>
      <c r="AL152" s="11" t="str">
        <f t="shared" si="42"/>
        <v>0.0154335667348557-0.000476313960184248i</v>
      </c>
      <c r="AM152" s="11" t="str">
        <f t="shared" si="43"/>
        <v>0.0869704803679753-0.263645413950368i</v>
      </c>
      <c r="AN152" s="11" t="str">
        <f t="shared" si="47"/>
        <v>-0.503902111212967+1.70236629487571i</v>
      </c>
      <c r="AO152" s="11">
        <f t="shared" si="48"/>
        <v>1.7753783651981734</v>
      </c>
      <c r="AP152" s="11">
        <f t="shared" si="49"/>
        <v>1.8585802801579014</v>
      </c>
      <c r="AQ152" s="11">
        <f t="shared" si="50"/>
        <v>106.48880593928989</v>
      </c>
      <c r="AR152" s="11">
        <f t="shared" si="51"/>
        <v>4.985818465078399</v>
      </c>
      <c r="AS152" s="11">
        <f t="shared" si="52"/>
        <v>-12.478382982212274</v>
      </c>
      <c r="AT152" s="11">
        <f t="shared" si="53"/>
        <v>-39.472767276093506</v>
      </c>
    </row>
    <row r="153" spans="25:46" x14ac:dyDescent="0.25">
      <c r="Y153" s="11">
        <v>151</v>
      </c>
      <c r="Z153" s="11">
        <f t="shared" si="44"/>
        <v>33884.415613920231</v>
      </c>
      <c r="AA153" s="11" t="str">
        <f t="shared" si="45"/>
        <v>212902.06232775i</v>
      </c>
      <c r="AB153" s="11">
        <f>$T$6/'5. Current Sense Resistor'!$B$11</f>
        <v>100</v>
      </c>
      <c r="AD153" s="11" t="str">
        <f t="shared" si="40"/>
        <v>0.00410975229883175-0.00192068276271742i</v>
      </c>
      <c r="AE153" s="11" t="str">
        <f t="shared" si="41"/>
        <v>-1.09348546241138-1.66616518659184i</v>
      </c>
      <c r="AF153" s="11" t="str">
        <f t="shared" si="46"/>
        <v>-0.115344087735792-0.0711674496976998i</v>
      </c>
      <c r="AG153" s="11">
        <f t="shared" si="36"/>
        <v>0.13553252182438247</v>
      </c>
      <c r="AH153" s="11">
        <f t="shared" si="37"/>
        <v>-2.588765915382444</v>
      </c>
      <c r="AI153" s="11">
        <f t="shared" si="38"/>
        <v>-148.32536109873524</v>
      </c>
      <c r="AJ153" s="11">
        <f t="shared" si="39"/>
        <v>-17.359129615472547</v>
      </c>
      <c r="AL153" s="11" t="str">
        <f t="shared" si="42"/>
        <v>0.0154335370008254-0.000444522065296219i</v>
      </c>
      <c r="AM153" s="11" t="str">
        <f t="shared" si="43"/>
        <v>0.0778120506063046-0.248516280476536i</v>
      </c>
      <c r="AN153" s="11" t="str">
        <f t="shared" si="47"/>
        <v>-0.451617594515343+1.60282726678747i</v>
      </c>
      <c r="AO153" s="11">
        <f t="shared" si="48"/>
        <v>1.6652368296531326</v>
      </c>
      <c r="AP153" s="11">
        <f t="shared" si="49"/>
        <v>1.8454392111497775</v>
      </c>
      <c r="AQ153" s="11">
        <f t="shared" si="50"/>
        <v>105.73587814683424</v>
      </c>
      <c r="AR153" s="11">
        <f t="shared" si="51"/>
        <v>4.4295201502069581</v>
      </c>
      <c r="AS153" s="11">
        <f t="shared" si="52"/>
        <v>-12.929609465265589</v>
      </c>
      <c r="AT153" s="11">
        <f t="shared" si="53"/>
        <v>-42.589482951901005</v>
      </c>
    </row>
    <row r="154" spans="25:46" x14ac:dyDescent="0.25">
      <c r="Y154" s="11">
        <v>152</v>
      </c>
      <c r="Z154" s="11">
        <f t="shared" si="44"/>
        <v>36307.805477010166</v>
      </c>
      <c r="AA154" s="11" t="str">
        <f t="shared" si="45"/>
        <v>228128.669909085i</v>
      </c>
      <c r="AB154" s="11">
        <f>$T$6/'5. Current Sense Resistor'!$B$11</f>
        <v>100</v>
      </c>
      <c r="AD154" s="11" t="str">
        <f t="shared" si="40"/>
        <v>0.00410927431779926-0.00179248630908238i</v>
      </c>
      <c r="AE154" s="11" t="str">
        <f t="shared" si="41"/>
        <v>-1.23280212547175-1.6263588018634i</v>
      </c>
      <c r="AF154" s="11" t="str">
        <f t="shared" si="46"/>
        <v>-0.119646839493058-0.0670611551263145i</v>
      </c>
      <c r="AG154" s="11">
        <f t="shared" si="36"/>
        <v>0.13715890320191831</v>
      </c>
      <c r="AH154" s="11">
        <f t="shared" si="37"/>
        <v>-2.6307294932491536</v>
      </c>
      <c r="AI154" s="11">
        <f t="shared" si="38"/>
        <v>-150.72969700376629</v>
      </c>
      <c r="AJ154" s="11">
        <f t="shared" si="39"/>
        <v>-17.25551992801838</v>
      </c>
      <c r="AL154" s="11" t="str">
        <f t="shared" si="42"/>
        <v>0.0154335111035662-0.000414852140148799i</v>
      </c>
      <c r="AM154" s="11" t="str">
        <f t="shared" si="43"/>
        <v>0.0696843721034402-0.233972986538695i</v>
      </c>
      <c r="AN154" s="11" t="str">
        <f t="shared" si="47"/>
        <v>-0.405217732243912+1.50751223858421i</v>
      </c>
      <c r="AO154" s="11">
        <f t="shared" si="48"/>
        <v>1.5610235616434733</v>
      </c>
      <c r="AP154" s="11">
        <f t="shared" si="49"/>
        <v>1.833388396353594</v>
      </c>
      <c r="AQ154" s="11">
        <f t="shared" si="50"/>
        <v>105.0454173193191</v>
      </c>
      <c r="AR154" s="11">
        <f t="shared" si="51"/>
        <v>3.8681891645733977</v>
      </c>
      <c r="AS154" s="11">
        <f t="shared" si="52"/>
        <v>-13.387330763444982</v>
      </c>
      <c r="AT154" s="11">
        <f t="shared" si="53"/>
        <v>-45.684279684447191</v>
      </c>
    </row>
    <row r="155" spans="25:46" x14ac:dyDescent="0.25">
      <c r="Y155" s="11">
        <v>153</v>
      </c>
      <c r="Z155" s="11">
        <f t="shared" si="44"/>
        <v>38904.514499428085</v>
      </c>
      <c r="AA155" s="11" t="str">
        <f t="shared" si="45"/>
        <v>244444.273885762i</v>
      </c>
      <c r="AB155" s="11">
        <f>$T$6/'5. Current Sense Resistor'!$B$11</f>
        <v>100</v>
      </c>
      <c r="AD155" s="11" t="str">
        <f t="shared" si="40"/>
        <v>0.00410885801334944-0.00167284625635747i</v>
      </c>
      <c r="AE155" s="11" t="str">
        <f t="shared" si="41"/>
        <v>-1.36915138321517-1.57409338384243i</v>
      </c>
      <c r="AF155" s="11" t="str">
        <f t="shared" si="46"/>
        <v>-0.123810143354859-0.0626233594521813i</v>
      </c>
      <c r="AG155" s="11">
        <f t="shared" si="36"/>
        <v>0.13874666391170579</v>
      </c>
      <c r="AH155" s="11">
        <f t="shared" si="37"/>
        <v>-2.6733146023541248</v>
      </c>
      <c r="AI155" s="11">
        <f t="shared" si="38"/>
        <v>-153.16964402558528</v>
      </c>
      <c r="AJ155" s="11">
        <f t="shared" si="39"/>
        <v>-17.155549009101112</v>
      </c>
      <c r="AL155" s="11" t="str">
        <f t="shared" si="42"/>
        <v>0.0154334885479952-0.000387162552858263i</v>
      </c>
      <c r="AM155" s="11" t="str">
        <f t="shared" si="43"/>
        <v>0.0624878280448267-0.220045411626703i</v>
      </c>
      <c r="AN155" s="11" t="str">
        <f t="shared" si="47"/>
        <v>-0.364133751219213+1.41653299336898i</v>
      </c>
      <c r="AO155" s="11">
        <f t="shared" si="48"/>
        <v>1.462586445335748</v>
      </c>
      <c r="AP155" s="11">
        <f t="shared" si="49"/>
        <v>1.8224084330570987</v>
      </c>
      <c r="AQ155" s="11">
        <f t="shared" si="50"/>
        <v>104.41631176322137</v>
      </c>
      <c r="AR155" s="11">
        <f t="shared" si="51"/>
        <v>3.3024308847979866</v>
      </c>
      <c r="AS155" s="11">
        <f t="shared" si="52"/>
        <v>-13.853118124303125</v>
      </c>
      <c r="AT155" s="11">
        <f t="shared" si="53"/>
        <v>-48.753332262363912</v>
      </c>
    </row>
    <row r="156" spans="25:46" x14ac:dyDescent="0.25">
      <c r="Y156" s="11">
        <v>154</v>
      </c>
      <c r="Z156" s="11">
        <f t="shared" si="44"/>
        <v>41686.93834703348</v>
      </c>
      <c r="AA156" s="11" t="str">
        <f t="shared" si="45"/>
        <v>261926.758523382i</v>
      </c>
      <c r="AB156" s="11">
        <f>$T$6/'5. Current Sense Resistor'!$B$11</f>
        <v>100</v>
      </c>
      <c r="AD156" s="11" t="str">
        <f t="shared" si="40"/>
        <v>0.00410849542704773-0.0015611915317197i</v>
      </c>
      <c r="AE156" s="11" t="str">
        <f t="shared" si="41"/>
        <v>-1.50092579565366-1.50965444275334i</v>
      </c>
      <c r="AF156" s="11" t="str">
        <f t="shared" si="46"/>
        <v>-0.127775935179647-0.0578536044563704i</v>
      </c>
      <c r="AG156" s="11">
        <f t="shared" si="36"/>
        <v>0.14026307126121085</v>
      </c>
      <c r="AH156" s="11">
        <f t="shared" si="37"/>
        <v>-2.7164343723017863</v>
      </c>
      <c r="AI156" s="11">
        <f t="shared" si="38"/>
        <v>-155.64022485716134</v>
      </c>
      <c r="AJ156" s="11">
        <f t="shared" si="39"/>
        <v>-17.061133116645312</v>
      </c>
      <c r="AL156" s="11" t="str">
        <f t="shared" si="42"/>
        <v>0.0154334689029134-0.000361321124771968i</v>
      </c>
      <c r="AM156" s="11" t="str">
        <f t="shared" si="43"/>
        <v>0.0561285690469816-0.206751297258869i</v>
      </c>
      <c r="AN156" s="11" t="str">
        <f t="shared" si="47"/>
        <v>-0.327829822656013+1.32993595782674i</v>
      </c>
      <c r="AO156" s="11">
        <f t="shared" si="48"/>
        <v>1.3697452480454904</v>
      </c>
      <c r="AP156" s="11">
        <f t="shared" si="49"/>
        <v>1.8124786009036402</v>
      </c>
      <c r="AQ156" s="11">
        <f t="shared" si="50"/>
        <v>103.84737428955489</v>
      </c>
      <c r="AR156" s="11">
        <f t="shared" si="51"/>
        <v>2.7327960488814105</v>
      </c>
      <c r="AS156" s="11">
        <f t="shared" si="52"/>
        <v>-14.328337067763901</v>
      </c>
      <c r="AT156" s="11">
        <f t="shared" si="53"/>
        <v>-51.79285056760645</v>
      </c>
    </row>
    <row r="157" spans="25:46" x14ac:dyDescent="0.25">
      <c r="Y157" s="11">
        <v>155</v>
      </c>
      <c r="Z157" s="11">
        <f t="shared" si="44"/>
        <v>44668.359215096309</v>
      </c>
      <c r="AA157" s="11" t="str">
        <f t="shared" si="45"/>
        <v>280659.578316113i</v>
      </c>
      <c r="AB157" s="11">
        <f>$T$6/'5. Current Sense Resistor'!$B$11</f>
        <v>100</v>
      </c>
      <c r="AD157" s="11" t="str">
        <f t="shared" si="40"/>
        <v>0.0041081796273656-0.00145698917336i</v>
      </c>
      <c r="AE157" s="11" t="str">
        <f t="shared" si="41"/>
        <v>-1.62659324622362-1.43356640662376i</v>
      </c>
      <c r="AF157" s="11" t="str">
        <f t="shared" si="46"/>
        <v>-0.131488073622686-0.0527602579085584i</v>
      </c>
      <c r="AG157" s="11">
        <f t="shared" si="36"/>
        <v>0.14167836221379215</v>
      </c>
      <c r="AH157" s="11">
        <f t="shared" si="37"/>
        <v>-2.7600047767661167</v>
      </c>
      <c r="AI157" s="11">
        <f t="shared" si="38"/>
        <v>-158.13662514464542</v>
      </c>
      <c r="AJ157" s="11">
        <f t="shared" si="39"/>
        <v>-16.973929443703472</v>
      </c>
      <c r="AL157" s="11" t="str">
        <f t="shared" si="42"/>
        <v>0.0154334517927617-0.000337204499522306i</v>
      </c>
      <c r="AM157" s="11" t="str">
        <f t="shared" si="43"/>
        <v>0.0505191769830989-0.194098241020024i</v>
      </c>
      <c r="AN157" s="11" t="str">
        <f t="shared" si="47"/>
        <v>-0.295806847560384+1.24771332154722i</v>
      </c>
      <c r="AO157" s="11">
        <f t="shared" si="48"/>
        <v>1.2822988044250874</v>
      </c>
      <c r="AP157" s="11">
        <f t="shared" si="49"/>
        <v>1.8035777365101604</v>
      </c>
      <c r="AQ157" s="11">
        <f t="shared" si="50"/>
        <v>103.33739232579023</v>
      </c>
      <c r="AR157" s="11">
        <f t="shared" si="51"/>
        <v>2.159784746904803</v>
      </c>
      <c r="AS157" s="11">
        <f t="shared" si="52"/>
        <v>-14.814144696798669</v>
      </c>
      <c r="AT157" s="11">
        <f t="shared" si="53"/>
        <v>-54.799232818855188</v>
      </c>
    </row>
    <row r="158" spans="25:46" x14ac:dyDescent="0.25">
      <c r="Y158" s="11">
        <v>156</v>
      </c>
      <c r="Z158" s="11">
        <f t="shared" si="44"/>
        <v>47863.009232263823</v>
      </c>
      <c r="AA158" s="11" t="str">
        <f t="shared" si="45"/>
        <v>300732.156365561i</v>
      </c>
      <c r="AB158" s="11">
        <f>$T$6/'5. Current Sense Resistor'!$B$11</f>
        <v>100</v>
      </c>
      <c r="AD158" s="11" t="str">
        <f t="shared" si="40"/>
        <v>0.00410790457717757-0.00135974178779279i</v>
      </c>
      <c r="AE158" s="11" t="str">
        <f t="shared" si="41"/>
        <v>-1.744739006566-1.34656646112652i</v>
      </c>
      <c r="AF158" s="11" t="str">
        <f t="shared" si="46"/>
        <v>-0.13489371133234-0.0473597212371822i</v>
      </c>
      <c r="AG158" s="11">
        <f t="shared" si="36"/>
        <v>0.14296592794325605</v>
      </c>
      <c r="AH158" s="11">
        <f t="shared" si="37"/>
        <v>-2.8039478559933562</v>
      </c>
      <c r="AI158" s="11">
        <f t="shared" si="38"/>
        <v>-160.65437812317526</v>
      </c>
      <c r="AJ158" s="11">
        <f t="shared" si="39"/>
        <v>-16.895349050609184</v>
      </c>
      <c r="AL158" s="11" t="str">
        <f t="shared" si="42"/>
        <v>0.0154334368904421-0.000314697554190525i</v>
      </c>
      <c r="AM158" s="11" t="str">
        <f t="shared" si="43"/>
        <v>0.0455789950464019-0.182085511669518i</v>
      </c>
      <c r="AN158" s="11" t="str">
        <f t="shared" si="47"/>
        <v>-0.267604337603863+1.16981315256508i</v>
      </c>
      <c r="AO158" s="11">
        <f t="shared" si="48"/>
        <v>1.2000312051853708</v>
      </c>
      <c r="AP158" s="11">
        <f t="shared" si="49"/>
        <v>1.795684975090017</v>
      </c>
      <c r="AQ158" s="11">
        <f t="shared" si="50"/>
        <v>102.88517040771234</v>
      </c>
      <c r="AR158" s="11">
        <f t="shared" si="51"/>
        <v>1.5838507886792954</v>
      </c>
      <c r="AS158" s="11">
        <f t="shared" si="52"/>
        <v>-15.311498261929888</v>
      </c>
      <c r="AT158" s="11">
        <f t="shared" si="53"/>
        <v>-57.769207715462926</v>
      </c>
    </row>
    <row r="159" spans="25:46" x14ac:dyDescent="0.25">
      <c r="Y159" s="11">
        <v>157</v>
      </c>
      <c r="Z159" s="11">
        <f t="shared" si="44"/>
        <v>51286.138399136456</v>
      </c>
      <c r="AA159" s="11" t="str">
        <f t="shared" si="45"/>
        <v>322240.311251433i</v>
      </c>
      <c r="AB159" s="11">
        <f>$T$6/'5. Current Sense Resistor'!$B$11</f>
        <v>100</v>
      </c>
      <c r="AD159" s="11" t="str">
        <f t="shared" si="40"/>
        <v>0.00410766501835459-0.00126898517668148i</v>
      </c>
      <c r="AE159" s="11" t="str">
        <f t="shared" si="41"/>
        <v>-1.8540980400815-1.2495704940528i</v>
      </c>
      <c r="AF159" s="11" t="str">
        <f t="shared" si="46"/>
        <v>-0.137944357670406-0.0416753962222129i</v>
      </c>
      <c r="AG159" s="11">
        <f t="shared" si="36"/>
        <v>0.14410234024254892</v>
      </c>
      <c r="AH159" s="11">
        <f t="shared" si="37"/>
        <v>-2.8481943873667124</v>
      </c>
      <c r="AI159" s="11">
        <f t="shared" si="38"/>
        <v>-163.18951762896174</v>
      </c>
      <c r="AJ159" s="11">
        <f t="shared" si="39"/>
        <v>-16.82657932248879</v>
      </c>
      <c r="AL159" s="11" t="str">
        <f t="shared" si="42"/>
        <v>0.0154334239110639-0.000293692849770306i</v>
      </c>
      <c r="AM159" s="11" t="str">
        <f t="shared" si="43"/>
        <v>0.0412342001491252-0.170705665896589i</v>
      </c>
      <c r="AN159" s="11" t="str">
        <f t="shared" si="47"/>
        <v>-0.242800825750023+1.096148397096i</v>
      </c>
      <c r="AO159" s="11">
        <f t="shared" si="48"/>
        <v>1.122717038902066</v>
      </c>
      <c r="AP159" s="11">
        <f t="shared" si="49"/>
        <v>1.7887803722410871</v>
      </c>
      <c r="AQ159" s="11">
        <f t="shared" si="50"/>
        <v>102.48956580525466</v>
      </c>
      <c r="AR159" s="11">
        <f t="shared" si="51"/>
        <v>1.005406275219157</v>
      </c>
      <c r="AS159" s="11">
        <f t="shared" si="52"/>
        <v>-15.821173047269633</v>
      </c>
      <c r="AT159" s="11">
        <f t="shared" si="53"/>
        <v>-60.699951823707082</v>
      </c>
    </row>
    <row r="160" spans="25:46" x14ac:dyDescent="0.25">
      <c r="Y160" s="11">
        <v>158</v>
      </c>
      <c r="Z160" s="11">
        <f t="shared" si="44"/>
        <v>54954.08738576241</v>
      </c>
      <c r="AA160" s="11" t="str">
        <f t="shared" si="45"/>
        <v>345286.714431685i</v>
      </c>
      <c r="AB160" s="11">
        <f>$T$6/'5. Current Sense Resistor'!$B$11</f>
        <v>100</v>
      </c>
      <c r="AD160" s="11" t="str">
        <f t="shared" si="40"/>
        <v>0.00410745637124822-0.00118428612190262i</v>
      </c>
      <c r="AE160" s="11" t="str">
        <f t="shared" si="41"/>
        <v>-1.95357620767269-1.14363479106786i</v>
      </c>
      <c r="AF160" s="11" t="str">
        <f t="shared" si="46"/>
        <v>-0.140596593908892-0.0357365307832074i</v>
      </c>
      <c r="AG160" s="11">
        <f t="shared" si="36"/>
        <v>0.14506723217598458</v>
      </c>
      <c r="AH160" s="11">
        <f t="shared" si="37"/>
        <v>-2.8926858393856021</v>
      </c>
      <c r="AI160" s="11">
        <f t="shared" si="38"/>
        <v>-165.73869005405294</v>
      </c>
      <c r="AJ160" s="11">
        <f t="shared" si="39"/>
        <v>-16.768613500696816</v>
      </c>
      <c r="AL160" s="11" t="str">
        <f t="shared" si="42"/>
        <v>0.0154334126064979-0.000274090118308503i</v>
      </c>
      <c r="AM160" s="11" t="str">
        <f t="shared" si="43"/>
        <v>0.0374176834229157-0.159945962310608i</v>
      </c>
      <c r="AN160" s="11" t="str">
        <f t="shared" si="47"/>
        <v>-0.221013181945351+1.02660473719655i</v>
      </c>
      <c r="AO160" s="11">
        <f t="shared" si="48"/>
        <v>1.050125760577278</v>
      </c>
      <c r="AP160" s="11">
        <f t="shared" si="49"/>
        <v>1.782845419763748</v>
      </c>
      <c r="AQ160" s="11">
        <f t="shared" si="50"/>
        <v>102.1495180766924</v>
      </c>
      <c r="AR160" s="11">
        <f t="shared" si="51"/>
        <v>0.42482624528854074</v>
      </c>
      <c r="AS160" s="11">
        <f t="shared" si="52"/>
        <v>-16.343787255408277</v>
      </c>
      <c r="AT160" s="11">
        <f t="shared" si="53"/>
        <v>-63.589171977360536</v>
      </c>
    </row>
    <row r="161" spans="25:46" x14ac:dyDescent="0.25">
      <c r="Y161" s="11">
        <v>159</v>
      </c>
      <c r="Z161" s="11">
        <f t="shared" si="44"/>
        <v>58884.365535558936</v>
      </c>
      <c r="AA161" s="11" t="str">
        <f t="shared" si="45"/>
        <v>369981.380355616i</v>
      </c>
      <c r="AB161" s="11">
        <f>$T$6/'5. Current Sense Resistor'!$B$11</f>
        <v>100</v>
      </c>
      <c r="AD161" s="11" t="str">
        <f t="shared" si="40"/>
        <v>0.00410727464714419-0.00110524031831696i</v>
      </c>
      <c r="AE161" s="11" t="str">
        <f t="shared" si="41"/>
        <v>-2.04226038736572-1.02991717440828i</v>
      </c>
      <c r="AF161" s="11" t="str">
        <f t="shared" si="46"/>
        <v>-0.14281244714181-0.0295770644041306i</v>
      </c>
      <c r="AG161" s="11">
        <f t="shared" si="36"/>
        <v>0.14584305879059983</v>
      </c>
      <c r="AH161" s="11">
        <f t="shared" si="37"/>
        <v>-2.9373755121064318</v>
      </c>
      <c r="AI161" s="11">
        <f t="shared" si="38"/>
        <v>-168.29921968877738</v>
      </c>
      <c r="AJ161" s="11">
        <f t="shared" si="39"/>
        <v>-16.722284714550881</v>
      </c>
      <c r="AL161" s="11" t="str">
        <f t="shared" si="42"/>
        <v>0.0154334027606322-0.000255795784275375i</v>
      </c>
      <c r="AM161" s="11" t="str">
        <f t="shared" si="43"/>
        <v>0.0340687938046864-0.149789578640665i</v>
      </c>
      <c r="AN161" s="11" t="str">
        <f t="shared" si="47"/>
        <v>-0.201895147655231+0.961047339431756i</v>
      </c>
      <c r="AO161" s="11">
        <f t="shared" si="48"/>
        <v>0.98202527425498809</v>
      </c>
      <c r="AP161" s="11">
        <f t="shared" si="49"/>
        <v>1.7778634691687321</v>
      </c>
      <c r="AQ161" s="11">
        <f t="shared" si="50"/>
        <v>101.86407333385532</v>
      </c>
      <c r="AR161" s="11">
        <f t="shared" si="51"/>
        <v>-0.15754669378800545</v>
      </c>
      <c r="AS161" s="11">
        <f t="shared" si="52"/>
        <v>-16.879831408338887</v>
      </c>
      <c r="AT161" s="11">
        <f t="shared" si="53"/>
        <v>-66.435146354922068</v>
      </c>
    </row>
    <row r="162" spans="25:46" x14ac:dyDescent="0.25">
      <c r="Y162" s="11">
        <v>160</v>
      </c>
      <c r="Z162" s="11">
        <f t="shared" si="44"/>
        <v>63095.734448019342</v>
      </c>
      <c r="AA162" s="11" t="str">
        <f t="shared" si="45"/>
        <v>396442.1916295i</v>
      </c>
      <c r="AB162" s="11">
        <f>$T$6/'5. Current Sense Resistor'!$B$11</f>
        <v>100</v>
      </c>
      <c r="AD162" s="11" t="str">
        <f t="shared" si="40"/>
        <v>0.00410711637201213-0.00103147044441294i</v>
      </c>
      <c r="AE162" s="11" t="str">
        <f t="shared" si="41"/>
        <v>-2.11941871843052-0.909640841787533i</v>
      </c>
      <c r="AF162" s="11" t="str">
        <f t="shared" si="46"/>
        <v>-0.144559469432227-0.0232345779995743i</v>
      </c>
      <c r="AG162" s="11">
        <f t="shared" si="36"/>
        <v>0.14641477322096044</v>
      </c>
      <c r="AH162" s="11">
        <f t="shared" si="37"/>
        <v>-2.9822288332893168</v>
      </c>
      <c r="AI162" s="11">
        <f t="shared" si="38"/>
        <v>-170.86912568970143</v>
      </c>
      <c r="AJ162" s="11">
        <f t="shared" si="39"/>
        <v>-16.688302016829965</v>
      </c>
      <c r="AL162" s="11" t="str">
        <f t="shared" si="42"/>
        <v>0.0154333941852416-0.000238722517879962i</v>
      </c>
      <c r="AM162" s="11" t="str">
        <f t="shared" si="43"/>
        <v>0.0311329893661945-0.140216644799013i</v>
      </c>
      <c r="AN162" s="11" t="str">
        <f t="shared" si="47"/>
        <v>-0.185135344096718+0.899326565829093i</v>
      </c>
      <c r="AO162" s="11">
        <f t="shared" si="48"/>
        <v>0.91818482215715147</v>
      </c>
      <c r="AP162" s="11">
        <f t="shared" si="49"/>
        <v>1.7738200757075142</v>
      </c>
      <c r="AQ162" s="11">
        <f t="shared" si="50"/>
        <v>101.63240395361672</v>
      </c>
      <c r="AR162" s="11">
        <f t="shared" si="51"/>
        <v>-0.74139781031254837</v>
      </c>
      <c r="AS162" s="11">
        <f t="shared" si="52"/>
        <v>-17.429699827142514</v>
      </c>
      <c r="AT162" s="11">
        <f t="shared" si="53"/>
        <v>-69.236721736084718</v>
      </c>
    </row>
    <row r="163" spans="25:46" x14ac:dyDescent="0.25">
      <c r="Y163" s="11">
        <v>161</v>
      </c>
      <c r="Z163" s="11">
        <f t="shared" si="44"/>
        <v>67608.297539198174</v>
      </c>
      <c r="AA163" s="11" t="str">
        <f t="shared" si="45"/>
        <v>424795.461741716i</v>
      </c>
      <c r="AB163" s="11">
        <f>$T$6/'5. Current Sense Resistor'!$B$11</f>
        <v>100</v>
      </c>
      <c r="AD163" s="11" t="str">
        <f t="shared" si="40"/>
        <v>0.00410697852009391-0.00096262436164021i</v>
      </c>
      <c r="AE163" s="11" t="str">
        <f t="shared" si="41"/>
        <v>-2.18449307697319-0.784063374620253i</v>
      </c>
      <c r="AF163" s="11" t="str">
        <f t="shared" si="46"/>
        <v>-0.145810598808055-0.0167494251603987i</v>
      </c>
      <c r="AG163" s="11">
        <f t="shared" si="36"/>
        <v>0.14676945856671736</v>
      </c>
      <c r="AH163" s="11">
        <f t="shared" si="37"/>
        <v>-3.0272228375418577</v>
      </c>
      <c r="AI163" s="11">
        <f t="shared" si="38"/>
        <v>-173.44709223676571</v>
      </c>
      <c r="AJ163" s="11">
        <f t="shared" si="39"/>
        <v>-16.667286157596063</v>
      </c>
      <c r="AL163" s="11" t="str">
        <f t="shared" si="42"/>
        <v>0.0154333867163884-0.000222788818198621i</v>
      </c>
      <c r="AM163" s="11" t="str">
        <f t="shared" si="43"/>
        <v>0.0285614316997281-0.131205108303483i</v>
      </c>
      <c r="AN163" s="11" t="str">
        <f t="shared" si="47"/>
        <v>-0.170454955682416+0.841282740381038i</v>
      </c>
      <c r="AO163" s="11">
        <f t="shared" si="48"/>
        <v>0.85837727205449899</v>
      </c>
      <c r="AP163" s="11">
        <f t="shared" si="49"/>
        <v>1.7707032745299942</v>
      </c>
      <c r="AQ163" s="11">
        <f t="shared" si="50"/>
        <v>101.45382440056342</v>
      </c>
      <c r="AR163" s="11">
        <f t="shared" si="51"/>
        <v>-1.326435801084211</v>
      </c>
      <c r="AS163" s="11">
        <f t="shared" si="52"/>
        <v>-17.993721958680275</v>
      </c>
      <c r="AT163" s="11">
        <f t="shared" si="53"/>
        <v>-71.993267836202293</v>
      </c>
    </row>
    <row r="164" spans="25:46" x14ac:dyDescent="0.25">
      <c r="Y164" s="11">
        <v>162</v>
      </c>
      <c r="Z164" s="11">
        <f t="shared" si="44"/>
        <v>72443.596007498985</v>
      </c>
      <c r="AA164" s="11" t="str">
        <f t="shared" si="45"/>
        <v>455176.538033571i</v>
      </c>
      <c r="AB164" s="11">
        <f>$T$6/'5. Current Sense Resistor'!$B$11</f>
        <v>100</v>
      </c>
      <c r="AD164" s="11" t="str">
        <f t="shared" si="40"/>
        <v>0.00410685845606127-0.000898373433859829i</v>
      </c>
      <c r="AE164" s="11" t="str">
        <f t="shared" si="41"/>
        <v>-2.23708640664223-0.654452403600157i</v>
      </c>
      <c r="AF164" s="11" t="str">
        <f t="shared" si="46"/>
        <v>-0.146543895895973-0.0101640869878803i</v>
      </c>
      <c r="AG164" s="11">
        <f t="shared" si="36"/>
        <v>0.14689595667909641</v>
      </c>
      <c r="AH164" s="11">
        <f t="shared" si="37"/>
        <v>-3.0723449017142337</v>
      </c>
      <c r="AI164" s="11">
        <f t="shared" si="38"/>
        <v>-176.0323960767613</v>
      </c>
      <c r="AJ164" s="11">
        <f t="shared" si="39"/>
        <v>-16.659803160590194</v>
      </c>
      <c r="AL164" s="11" t="str">
        <f t="shared" si="42"/>
        <v>0.0154333802112891-0.000207918624127075i</v>
      </c>
      <c r="AM164" s="11" t="str">
        <f t="shared" si="43"/>
        <v>0.026310550554894-0.122731450313419i</v>
      </c>
      <c r="AN164" s="11" t="str">
        <f t="shared" si="47"/>
        <v>-0.157605243863721+0.786750074459596i</v>
      </c>
      <c r="AO164" s="11">
        <f t="shared" si="48"/>
        <v>0.80238088994910806</v>
      </c>
      <c r="AP164" s="11">
        <f t="shared" si="49"/>
        <v>1.7685037991103139</v>
      </c>
      <c r="AQ164" s="11">
        <f t="shared" si="50"/>
        <v>101.32780374187298</v>
      </c>
      <c r="AR164" s="11">
        <f t="shared" si="51"/>
        <v>-1.9123884663649902</v>
      </c>
      <c r="AS164" s="11">
        <f t="shared" si="52"/>
        <v>-18.572191626955185</v>
      </c>
      <c r="AT164" s="11">
        <f t="shared" si="53"/>
        <v>-74.704592334888318</v>
      </c>
    </row>
    <row r="165" spans="25:46" x14ac:dyDescent="0.25">
      <c r="Y165" s="11">
        <v>163</v>
      </c>
      <c r="Z165" s="11">
        <f t="shared" si="44"/>
        <v>77624.711662869129</v>
      </c>
      <c r="AA165" s="11" t="str">
        <f t="shared" si="45"/>
        <v>487730.447794191i</v>
      </c>
      <c r="AB165" s="11">
        <f>$T$6/'5. Current Sense Resistor'!$B$11</f>
        <v>100</v>
      </c>
      <c r="AD165" s="11" t="str">
        <f t="shared" si="40"/>
        <v>0.00410675388463677-0.000838410958906814i</v>
      </c>
      <c r="AE165" s="11" t="str">
        <f t="shared" si="41"/>
        <v>-2.27694766114411-0.522068403054951i</v>
      </c>
      <c r="AF165" s="11" t="str">
        <f t="shared" si="46"/>
        <v>-0.146742253871211-0.0035227563453587i</v>
      </c>
      <c r="AG165" s="11">
        <f t="shared" si="36"/>
        <v>0.1467845321669545</v>
      </c>
      <c r="AH165" s="11">
        <f t="shared" si="37"/>
        <v>-3.1175908425560839</v>
      </c>
      <c r="AI165" s="11">
        <f t="shared" si="38"/>
        <v>-178.62479752709791</v>
      </c>
      <c r="AJ165" s="11">
        <f t="shared" si="39"/>
        <v>-16.666394140233969</v>
      </c>
      <c r="AL165" s="11" t="str">
        <f t="shared" si="42"/>
        <v>0.0154333745455845-0.000194040951298998i</v>
      </c>
      <c r="AM165" s="11" t="str">
        <f t="shared" si="43"/>
        <v>0.0243415990953326-0.114771270837174i</v>
      </c>
      <c r="AN165" s="11" t="str">
        <f t="shared" si="47"/>
        <v>-0.146365007604593+0.735559856293269i</v>
      </c>
      <c r="AO165" s="11">
        <f t="shared" si="48"/>
        <v>0.74998067817862291</v>
      </c>
      <c r="AP165" s="11">
        <f t="shared" si="49"/>
        <v>1.7672152504961862</v>
      </c>
      <c r="AQ165" s="11">
        <f t="shared" si="50"/>
        <v>101.25397534458604</v>
      </c>
      <c r="AR165" s="11">
        <f t="shared" si="51"/>
        <v>-2.4989985046592564</v>
      </c>
      <c r="AS165" s="11">
        <f t="shared" si="52"/>
        <v>-19.165392644893224</v>
      </c>
      <c r="AT165" s="11">
        <f t="shared" si="53"/>
        <v>-77.370822182511873</v>
      </c>
    </row>
    <row r="166" spans="25:46" x14ac:dyDescent="0.25">
      <c r="Y166" s="11">
        <v>164</v>
      </c>
      <c r="Z166" s="11">
        <f t="shared" si="44"/>
        <v>83176.377110267029</v>
      </c>
      <c r="AA166" s="11" t="str">
        <f t="shared" si="45"/>
        <v>522612.590563658i</v>
      </c>
      <c r="AB166" s="11">
        <f>$T$6/'5. Current Sense Resistor'!$B$11</f>
        <v>100</v>
      </c>
      <c r="AD166" s="11" t="str">
        <f t="shared" si="40"/>
        <v>0.00410666280671558-0.000782450704792961i</v>
      </c>
      <c r="AE166" s="11" t="str">
        <f t="shared" si="41"/>
        <v>-2.30395691499959-0.388154159923466i</v>
      </c>
      <c r="AF166" s="11" t="str">
        <f t="shared" si="46"/>
        <v>-0.146393171376345+0.00312887638634487i</v>
      </c>
      <c r="AG166" s="11">
        <f t="shared" si="36"/>
        <v>0.14642660445788169</v>
      </c>
      <c r="AH166" s="11">
        <f t="shared" si="37"/>
        <v>3.1202228037946322</v>
      </c>
      <c r="AI166" s="11">
        <f t="shared" si="38"/>
        <v>178.77559779790877</v>
      </c>
      <c r="AJ166" s="11">
        <f t="shared" si="39"/>
        <v>-16.687600170533173</v>
      </c>
      <c r="AL166" s="11" t="str">
        <f t="shared" si="42"/>
        <v>0.0154333696109619-0.000181089553238145i</v>
      </c>
      <c r="AM166" s="11" t="str">
        <f t="shared" si="43"/>
        <v>0.0226202145560746-0.107299761009498i</v>
      </c>
      <c r="AN166" s="11" t="str">
        <f t="shared" si="47"/>
        <v>-0.136538074825871+0.687543005943157i</v>
      </c>
      <c r="AO166" s="11">
        <f t="shared" si="48"/>
        <v>0.70096935089810264</v>
      </c>
      <c r="AP166" s="11">
        <f t="shared" si="49"/>
        <v>1.7668342243051678</v>
      </c>
      <c r="AQ166" s="11">
        <f t="shared" si="50"/>
        <v>101.23214415195673</v>
      </c>
      <c r="AR166" s="11">
        <f t="shared" si="51"/>
        <v>-3.086019413186758</v>
      </c>
      <c r="AS166" s="11">
        <f t="shared" si="52"/>
        <v>-19.773619583719931</v>
      </c>
      <c r="AT166" s="11">
        <f t="shared" si="53"/>
        <v>280.00774194986548</v>
      </c>
    </row>
    <row r="167" spans="25:46" x14ac:dyDescent="0.25">
      <c r="Y167" s="11">
        <v>165</v>
      </c>
      <c r="Z167" s="11">
        <f t="shared" si="44"/>
        <v>89125.093813374449</v>
      </c>
      <c r="AA167" s="11" t="str">
        <f t="shared" si="45"/>
        <v>559989.479949197i</v>
      </c>
      <c r="AB167" s="11">
        <f>$T$6/'5. Current Sense Resistor'!$B$11</f>
        <v>100</v>
      </c>
      <c r="AD167" s="11" t="str">
        <f t="shared" si="40"/>
        <v>0.00410658348114882-0.000730225543574079i</v>
      </c>
      <c r="AE167" s="11" t="str">
        <f t="shared" si="41"/>
        <v>-2.31811274463147-0.253929712574609i</v>
      </c>
      <c r="AF167" s="11" t="str">
        <f t="shared" si="46"/>
        <v>-0.145488660439114+0.00974369205617891i</v>
      </c>
      <c r="AG167" s="11">
        <f t="shared" si="36"/>
        <v>0.14581457352148811</v>
      </c>
      <c r="AH167" s="11">
        <f t="shared" si="37"/>
        <v>3.0747203392674622</v>
      </c>
      <c r="AI167" s="11">
        <f t="shared" si="38"/>
        <v>176.16849862305821</v>
      </c>
      <c r="AJ167" s="11">
        <f t="shared" si="39"/>
        <v>-16.72398136073593</v>
      </c>
      <c r="AL167" s="11" t="str">
        <f t="shared" si="42"/>
        <v>0.0154333653130853-0.000169002605126643i</v>
      </c>
      <c r="AM167" s="11" t="str">
        <f t="shared" si="43"/>
        <v>0.0211159946141717-0.100292079087229i</v>
      </c>
      <c r="AN167" s="11" t="str">
        <f t="shared" si="47"/>
        <v>-0.127950883661134+0.642532090128909i</v>
      </c>
      <c r="AO167" s="11">
        <f t="shared" si="48"/>
        <v>0.65514801035726999</v>
      </c>
      <c r="AP167" s="11">
        <f t="shared" si="49"/>
        <v>1.7673604007563763</v>
      </c>
      <c r="AQ167" s="11">
        <f t="shared" si="50"/>
        <v>101.26229184189015</v>
      </c>
      <c r="AR167" s="11">
        <f t="shared" si="51"/>
        <v>-3.6732114713144011</v>
      </c>
      <c r="AS167" s="11">
        <f t="shared" si="52"/>
        <v>-20.39719283205033</v>
      </c>
      <c r="AT167" s="11">
        <f t="shared" si="53"/>
        <v>277.43079046494836</v>
      </c>
    </row>
    <row r="168" spans="25:46" x14ac:dyDescent="0.25">
      <c r="Y168" s="11">
        <v>166</v>
      </c>
      <c r="Z168" s="11">
        <f t="shared" si="44"/>
        <v>95499.258602143629</v>
      </c>
      <c r="AA168" s="11" t="str">
        <f t="shared" si="45"/>
        <v>600039.538495533i</v>
      </c>
      <c r="AB168" s="11">
        <f>$T$6/'5. Current Sense Resistor'!$B$11</f>
        <v>100</v>
      </c>
      <c r="AD168" s="11" t="str">
        <f t="shared" si="40"/>
        <v>0.00410651439145809-0.000681486176370142i</v>
      </c>
      <c r="AE168" s="11" t="str">
        <f t="shared" si="41"/>
        <v>-2.31952335890654-0.120591022385532i</v>
      </c>
      <c r="AF168" s="11" t="str">
        <f t="shared" si="46"/>
        <v>-0.144025336755018+0.0162731426025092i</v>
      </c>
      <c r="AG168" s="11">
        <f t="shared" si="36"/>
        <v>0.14494175656986477</v>
      </c>
      <c r="AH168" s="11">
        <f t="shared" si="37"/>
        <v>3.0290817625447639</v>
      </c>
      <c r="AI168" s="11">
        <f t="shared" si="38"/>
        <v>173.55360079386358</v>
      </c>
      <c r="AJ168" s="11">
        <f t="shared" si="39"/>
        <v>-16.776129594178919</v>
      </c>
      <c r="AL168" s="11" t="str">
        <f t="shared" si="42"/>
        <v>0.0154333615697913-0.000157722408679991i</v>
      </c>
      <c r="AM168" s="11" t="str">
        <f t="shared" si="43"/>
        <v>0.0198020962897311-0.0937236452436052i</v>
      </c>
      <c r="AN168" s="11" t="str">
        <f t="shared" si="47"/>
        <v>-0.12045019241676+0.600362882349859i</v>
      </c>
      <c r="AO168" s="11">
        <f t="shared" si="48"/>
        <v>0.61232657900557053</v>
      </c>
      <c r="AP168" s="11">
        <f t="shared" si="49"/>
        <v>1.7687966014089511</v>
      </c>
      <c r="AQ168" s="11">
        <f t="shared" si="50"/>
        <v>101.34458007781662</v>
      </c>
      <c r="AR168" s="11">
        <f t="shared" si="51"/>
        <v>-4.2603377782973766</v>
      </c>
      <c r="AS168" s="11">
        <f t="shared" si="52"/>
        <v>-21.036467372476295</v>
      </c>
      <c r="AT168" s="11">
        <f t="shared" si="53"/>
        <v>274.89818087168021</v>
      </c>
    </row>
    <row r="169" spans="25:46" x14ac:dyDescent="0.25">
      <c r="Y169" s="11">
        <v>167</v>
      </c>
      <c r="Z169" s="11">
        <f t="shared" si="44"/>
        <v>102329.29922807543</v>
      </c>
      <c r="AA169" s="11" t="str">
        <f t="shared" si="45"/>
        <v>642953.949403827i</v>
      </c>
      <c r="AB169" s="11">
        <f>$T$6/'5. Current Sense Resistor'!$B$11</f>
        <v>100</v>
      </c>
      <c r="AD169" s="11" t="str">
        <f t="shared" si="40"/>
        <v>0.00410645421684523-0.000635999943459989i</v>
      </c>
      <c r="AE169" s="11" t="str">
        <f t="shared" si="41"/>
        <v>-2.30840224365428+0.0106896594176969i</v>
      </c>
      <c r="AF169" s="11" t="str">
        <f t="shared" si="46"/>
        <v>-0.142004710390075+0.0226672707129374i</v>
      </c>
      <c r="AG169" s="11">
        <f t="shared" si="36"/>
        <v>0.14380244411880719</v>
      </c>
      <c r="AH169" s="11">
        <f t="shared" si="37"/>
        <v>2.9833046399500818</v>
      </c>
      <c r="AI169" s="11">
        <f t="shared" si="38"/>
        <v>170.93076487093535</v>
      </c>
      <c r="AJ169" s="11">
        <f t="shared" si="39"/>
        <v>-16.844674649258764</v>
      </c>
      <c r="AL169" s="11" t="str">
        <f t="shared" si="42"/>
        <v>0.0154333583095184-0.000147195116720081i</v>
      </c>
      <c r="AM169" s="11" t="str">
        <f t="shared" si="43"/>
        <v>0.0186548615175508-0.0875703685459105i</v>
      </c>
      <c r="AN169" s="11" t="str">
        <f t="shared" si="47"/>
        <v>-0.113900941852284+0.560875544110933i</v>
      </c>
      <c r="AO169" s="11">
        <f t="shared" si="48"/>
        <v>0.57232403456134229</v>
      </c>
      <c r="AP169" s="11">
        <f t="shared" si="49"/>
        <v>1.7711488146832648</v>
      </c>
      <c r="AQ169" s="11">
        <f t="shared" si="50"/>
        <v>101.47935197094945</v>
      </c>
      <c r="AR169" s="11">
        <f t="shared" si="51"/>
        <v>-4.8471603130678984</v>
      </c>
      <c r="AS169" s="11">
        <f t="shared" si="52"/>
        <v>-21.691834962326663</v>
      </c>
      <c r="AT169" s="11">
        <f t="shared" si="53"/>
        <v>272.41011684188481</v>
      </c>
    </row>
    <row r="170" spans="25:46" x14ac:dyDescent="0.25">
      <c r="Y170" s="11">
        <v>168</v>
      </c>
      <c r="Z170" s="11">
        <f t="shared" si="44"/>
        <v>109647.81961431848</v>
      </c>
      <c r="AA170" s="11" t="str">
        <f t="shared" si="45"/>
        <v>688937.569164963i</v>
      </c>
      <c r="AB170" s="11">
        <f>$T$6/'5. Current Sense Resistor'!$B$11</f>
        <v>100</v>
      </c>
      <c r="AD170" s="11" t="str">
        <f t="shared" si="40"/>
        <v>0.00410640180694249-0.000593549713776832i</v>
      </c>
      <c r="AE170" s="11" t="str">
        <f t="shared" si="41"/>
        <v>-2.28506834193167+0.138763838772784i</v>
      </c>
      <c r="AF170" s="11" t="str">
        <f t="shared" si="46"/>
        <v>-0.139433663170772+0.0288748408783165i</v>
      </c>
      <c r="AG170" s="11">
        <f t="shared" si="36"/>
        <v>0.14239207443171967</v>
      </c>
      <c r="AH170" s="11">
        <f t="shared" si="37"/>
        <v>2.9373924500758051</v>
      </c>
      <c r="AI170" s="11">
        <f t="shared" si="38"/>
        <v>168.30019016293602</v>
      </c>
      <c r="AJ170" s="11">
        <f t="shared" si="39"/>
        <v>-16.930283658696776</v>
      </c>
      <c r="AL170" s="11" t="str">
        <f t="shared" si="42"/>
        <v>0.0154333554699394-0.00013737047613152i</v>
      </c>
      <c r="AM170" s="11" t="str">
        <f t="shared" si="43"/>
        <v>0.0176534715245132-0.0818088178059772i</v>
      </c>
      <c r="AN170" s="11" t="str">
        <f t="shared" si="47"/>
        <v>-0.108184281955089+0.523915493426444i</v>
      </c>
      <c r="AO170" s="11">
        <f t="shared" si="48"/>
        <v>0.53496848796392904</v>
      </c>
      <c r="AP170" s="11">
        <f t="shared" si="49"/>
        <v>1.7744261906611405</v>
      </c>
      <c r="AQ170" s="11">
        <f t="shared" si="50"/>
        <v>101.66713178235928</v>
      </c>
      <c r="AR170" s="11">
        <f t="shared" si="51"/>
        <v>-5.433435982246082</v>
      </c>
      <c r="AS170" s="11">
        <f t="shared" si="52"/>
        <v>-22.363719640942858</v>
      </c>
      <c r="AT170" s="11">
        <f t="shared" si="53"/>
        <v>269.96732194529528</v>
      </c>
    </row>
    <row r="171" spans="25:46" x14ac:dyDescent="0.25">
      <c r="Y171" s="11">
        <v>169</v>
      </c>
      <c r="Z171" s="11">
        <f t="shared" si="44"/>
        <v>117489.75549395289</v>
      </c>
      <c r="AA171" s="11" t="str">
        <f t="shared" si="45"/>
        <v>738209.905463727i</v>
      </c>
      <c r="AB171" s="11">
        <f>$T$6/'5. Current Sense Resistor'!$B$11</f>
        <v>100</v>
      </c>
      <c r="AD171" s="11" t="str">
        <f t="shared" si="40"/>
        <v>0.00410635615982093-0.00055393284850875i</v>
      </c>
      <c r="AE171" s="11" t="str">
        <f t="shared" si="41"/>
        <v>-2.24995007370941+0.262509201049218i</v>
      </c>
      <c r="AF171" s="11" t="str">
        <f t="shared" si="46"/>
        <v>-0.13632506690871+0.0348436666465588i</v>
      </c>
      <c r="AG171" s="11">
        <f t="shared" si="36"/>
        <v>0.14070751569493639</v>
      </c>
      <c r="AH171" s="11">
        <f t="shared" si="37"/>
        <v>2.8913574128985982</v>
      </c>
      <c r="AI171" s="11">
        <f t="shared" si="38"/>
        <v>165.66257682295421</v>
      </c>
      <c r="AJ171" s="11">
        <f t="shared" si="39"/>
        <v>-17.033654094280873</v>
      </c>
      <c r="AL171" s="11" t="str">
        <f t="shared" si="42"/>
        <v>0.0154333529967695-0.000128201587974305i</v>
      </c>
      <c r="AM171" s="11" t="str">
        <f t="shared" si="43"/>
        <v>0.016779630682696-0.0764163463789544i</v>
      </c>
      <c r="AN171" s="11" t="str">
        <f t="shared" si="47"/>
        <v>-0.103195767022421+0.489334017598612i</v>
      </c>
      <c r="AO171" s="11">
        <f t="shared" si="48"/>
        <v>0.50009713767481667</v>
      </c>
      <c r="AP171" s="11">
        <f t="shared" si="49"/>
        <v>1.7786410040853218</v>
      </c>
      <c r="AQ171" s="11">
        <f t="shared" si="50"/>
        <v>101.90862280299994</v>
      </c>
      <c r="AR171" s="11">
        <f t="shared" si="51"/>
        <v>-6.0189126229274672</v>
      </c>
      <c r="AS171" s="11">
        <f t="shared" si="52"/>
        <v>-23.052566717208339</v>
      </c>
      <c r="AT171" s="11">
        <f t="shared" si="53"/>
        <v>267.57119962595414</v>
      </c>
    </row>
    <row r="172" spans="25:46" x14ac:dyDescent="0.25">
      <c r="Y172" s="11">
        <v>170</v>
      </c>
      <c r="Z172" s="11">
        <f t="shared" si="44"/>
        <v>125892.54117941685</v>
      </c>
      <c r="AA172" s="11" t="str">
        <f t="shared" si="45"/>
        <v>791006.165022013i</v>
      </c>
      <c r="AB172" s="11">
        <f>$T$6/'5. Current Sense Resistor'!$B$11</f>
        <v>100</v>
      </c>
      <c r="AD172" s="11" t="str">
        <f t="shared" si="40"/>
        <v>0.00410631640283666-0.000516960233861043i</v>
      </c>
      <c r="AE172" s="11" t="str">
        <f t="shared" si="41"/>
        <v>-2.20359185445511+0.380836014531386i</v>
      </c>
      <c r="AF172" s="11" t="str">
        <f t="shared" si="46"/>
        <v>-0.132698466608037+0.0405212020039398i</v>
      </c>
      <c r="AG172" s="11">
        <f t="shared" si="36"/>
        <v>0.13874743547888876</v>
      </c>
      <c r="AH172" s="11">
        <f t="shared" si="37"/>
        <v>2.8452229659101675</v>
      </c>
      <c r="AI172" s="11">
        <f t="shared" si="38"/>
        <v>163.0192677203471</v>
      </c>
      <c r="AJ172" s="11">
        <f t="shared" si="39"/>
        <v>-17.155500707191887</v>
      </c>
      <c r="AL172" s="11" t="str">
        <f t="shared" si="42"/>
        <v>0.0154333508427285-0.000119644683607784i</v>
      </c>
      <c r="AM172" s="11" t="str">
        <f t="shared" si="43"/>
        <v>0.0160172794686332-0.0713711794996148i</v>
      </c>
      <c r="AN172" s="11" t="str">
        <f t="shared" si="47"/>
        <v>-0.0988437169319426+0.456988678819501i</v>
      </c>
      <c r="AO172" s="11">
        <f t="shared" si="48"/>
        <v>0.46755612812379554</v>
      </c>
      <c r="AP172" s="11">
        <f t="shared" si="49"/>
        <v>1.7838085828928192</v>
      </c>
      <c r="AQ172" s="11">
        <f t="shared" si="50"/>
        <v>102.2047032589708</v>
      </c>
      <c r="AR172" s="11">
        <f t="shared" si="51"/>
        <v>-6.603324929144355</v>
      </c>
      <c r="AS172" s="11">
        <f t="shared" si="52"/>
        <v>-23.75882563633624</v>
      </c>
      <c r="AT172" s="11">
        <f t="shared" si="53"/>
        <v>265.22397097931787</v>
      </c>
    </row>
    <row r="173" spans="25:46" x14ac:dyDescent="0.25">
      <c r="Y173" s="11">
        <v>171</v>
      </c>
      <c r="Z173" s="11">
        <f t="shared" si="44"/>
        <v>134896.28825916522</v>
      </c>
      <c r="AA173" s="11" t="str">
        <f t="shared" si="45"/>
        <v>847578.376383049i</v>
      </c>
      <c r="AB173" s="11">
        <f>$T$6/'5. Current Sense Resistor'!$B$11</f>
        <v>100</v>
      </c>
      <c r="AD173" s="11" t="str">
        <f t="shared" si="40"/>
        <v>0.00410628177594833-0.000482455378366647i</v>
      </c>
      <c r="AE173" s="11" t="str">
        <f t="shared" si="41"/>
        <v>-2.14666125434469+0.492698574298384i</v>
      </c>
      <c r="AF173" s="11" t="str">
        <f t="shared" si="46"/>
        <v>-0.128580727939175+0.0458554378785186i</v>
      </c>
      <c r="AG173" s="11">
        <f t="shared" si="36"/>
        <v>0.13651272753995802</v>
      </c>
      <c r="AH173" s="11">
        <f t="shared" si="37"/>
        <v>2.7990257477403286</v>
      </c>
      <c r="AI173" s="11">
        <f t="shared" si="38"/>
        <v>160.37236209397025</v>
      </c>
      <c r="AJ173" s="11">
        <f t="shared" si="39"/>
        <v>-17.296537120055675</v>
      </c>
      <c r="AL173" s="11" t="str">
        <f t="shared" si="42"/>
        <v>0.0154333489666374-0.000111658915757226i</v>
      </c>
      <c r="AM173" s="11" t="str">
        <f t="shared" si="43"/>
        <v>0.0153523354493553-0.0666524714100781i</v>
      </c>
      <c r="AN173" s="11" t="str">
        <f t="shared" si="47"/>
        <v>-0.0950477384320459+0.426743553554929i</v>
      </c>
      <c r="AO173" s="11">
        <f t="shared" si="48"/>
        <v>0.43720033518026402</v>
      </c>
      <c r="AP173" s="11">
        <f t="shared" si="49"/>
        <v>1.7899471980117141</v>
      </c>
      <c r="AQ173" s="11">
        <f t="shared" si="50"/>
        <v>102.55641999733866</v>
      </c>
      <c r="AR173" s="11">
        <f t="shared" si="51"/>
        <v>-7.1863902753943947</v>
      </c>
      <c r="AS173" s="11">
        <f t="shared" si="52"/>
        <v>-24.482927395450069</v>
      </c>
      <c r="AT173" s="11">
        <f t="shared" si="53"/>
        <v>262.9287820913089</v>
      </c>
    </row>
    <row r="174" spans="25:46" x14ac:dyDescent="0.25">
      <c r="Y174" s="11">
        <v>172</v>
      </c>
      <c r="Z174" s="11">
        <f t="shared" si="44"/>
        <v>144543.97707459255</v>
      </c>
      <c r="AA174" s="11" t="str">
        <f t="shared" si="45"/>
        <v>908196.592996383i</v>
      </c>
      <c r="AB174" s="11">
        <f>$T$6/'5. Current Sense Resistor'!$B$11</f>
        <v>100</v>
      </c>
      <c r="AD174" s="11" t="str">
        <f t="shared" si="40"/>
        <v>0.00410625161718739-0.000450253570438392i</v>
      </c>
      <c r="AE174" s="11" t="str">
        <f t="shared" si="41"/>
        <v>-2.07995460704183+0.597112036797895i</v>
      </c>
      <c r="AF174" s="11" t="str">
        <f t="shared" si="46"/>
        <v>-0.124006532115937+0.0507961087597304i</v>
      </c>
      <c r="AG174" s="11">
        <f t="shared" si="36"/>
        <v>0.13400695755277511</v>
      </c>
      <c r="AH174" s="11">
        <f t="shared" si="37"/>
        <v>2.7528169613174569</v>
      </c>
      <c r="AI174" s="11">
        <f t="shared" si="38"/>
        <v>157.72479365551828</v>
      </c>
      <c r="AJ174" s="11">
        <f t="shared" si="39"/>
        <v>-17.457453055340267</v>
      </c>
      <c r="AL174" s="11" t="str">
        <f t="shared" si="42"/>
        <v>0.0154333473326301-0.000104206163525702i</v>
      </c>
      <c r="AM174" s="11" t="str">
        <f t="shared" si="43"/>
        <v>0.0147724607571159-0.0622403383551578i</v>
      </c>
      <c r="AN174" s="11" t="str">
        <f t="shared" si="47"/>
        <v>-0.0917373976660005+0.39846933997677i</v>
      </c>
      <c r="AO174" s="11">
        <f t="shared" si="48"/>
        <v>0.40889309731524276</v>
      </c>
      <c r="AP174" s="11">
        <f t="shared" si="49"/>
        <v>1.7970779085244302</v>
      </c>
      <c r="AQ174" s="11">
        <f t="shared" si="50"/>
        <v>102.96497961464688</v>
      </c>
      <c r="AR174" s="11">
        <f t="shared" si="51"/>
        <v>-7.7678044175855101</v>
      </c>
      <c r="AS174" s="11">
        <f t="shared" si="52"/>
        <v>-25.225257472925776</v>
      </c>
      <c r="AT174" s="11">
        <f t="shared" si="53"/>
        <v>260.68977327016518</v>
      </c>
    </row>
    <row r="175" spans="25:46" x14ac:dyDescent="0.25">
      <c r="Y175" s="11">
        <v>173</v>
      </c>
      <c r="Z175" s="11">
        <f t="shared" si="44"/>
        <v>154881.66189124787</v>
      </c>
      <c r="AA175" s="11" t="str">
        <f t="shared" si="45"/>
        <v>973150.182346645i</v>
      </c>
      <c r="AB175" s="11">
        <f>$T$6/'5. Current Sense Resistor'!$B$11</f>
        <v>100</v>
      </c>
      <c r="AD175" s="11" t="str">
        <f t="shared" si="40"/>
        <v>0.00410622535000322-0.00042020109214384i</v>
      </c>
      <c r="AE175" s="11" t="str">
        <f t="shared" si="41"/>
        <v>-2.00439878899339+0.693174176410608i</v>
      </c>
      <c r="AF175" s="11" t="str">
        <f t="shared" si="46"/>
        <v>-0.119018597653805+0.0552961718706509i</v>
      </c>
      <c r="AG175" s="11">
        <f t="shared" si="36"/>
        <v>0.13123678299557209</v>
      </c>
      <c r="AH175" s="11">
        <f t="shared" si="37"/>
        <v>2.7066630095056716</v>
      </c>
      <c r="AI175" s="11">
        <f t="shared" si="38"/>
        <v>155.08036700885279</v>
      </c>
      <c r="AJ175" s="11">
        <f t="shared" si="39"/>
        <v>-17.638888480135378</v>
      </c>
      <c r="AL175" s="11" t="str">
        <f t="shared" si="42"/>
        <v>0.0154333459094694-0.0000972508504204892i</v>
      </c>
      <c r="AM175" s="11" t="str">
        <f t="shared" si="43"/>
        <v>0.0142668542437183-0.0581158724979774i</v>
      </c>
      <c r="AN175" s="11" t="str">
        <f t="shared" si="47"/>
        <v>-0.0888510335982715+0.372043361895901i</v>
      </c>
      <c r="AO175" s="11">
        <f t="shared" si="48"/>
        <v>0.38250590753906727</v>
      </c>
      <c r="AP175" s="11">
        <f t="shared" si="49"/>
        <v>1.8052243546632571</v>
      </c>
      <c r="AQ175" s="11">
        <f t="shared" si="50"/>
        <v>103.4317365964323</v>
      </c>
      <c r="AR175" s="11">
        <f t="shared" si="51"/>
        <v>-8.347237061616088</v>
      </c>
      <c r="AS175" s="11">
        <f t="shared" si="52"/>
        <v>-25.986125541751466</v>
      </c>
      <c r="AT175" s="11">
        <f t="shared" si="53"/>
        <v>258.51210360528512</v>
      </c>
    </row>
    <row r="176" spans="25:46" x14ac:dyDescent="0.25">
      <c r="Y176" s="11">
        <v>174</v>
      </c>
      <c r="Z176" s="11">
        <f t="shared" si="44"/>
        <v>165958.69074375575</v>
      </c>
      <c r="AA176" s="11" t="str">
        <f t="shared" si="45"/>
        <v>1042749.20727993i</v>
      </c>
      <c r="AB176" s="11">
        <f>$T$6/'5. Current Sense Resistor'!$B$11</f>
        <v>100</v>
      </c>
      <c r="AD176" s="11" t="str">
        <f t="shared" si="40"/>
        <v>0.00410620247224106-0.000392154485451438i</v>
      </c>
      <c r="AE176" s="11" t="str">
        <f t="shared" si="41"/>
        <v>-1.92104709573677+0.780090747842215i</v>
      </c>
      <c r="AF176" s="11" t="str">
        <f t="shared" si="46"/>
        <v>-0.113667520472368+0.0593134766104216i</v>
      </c>
      <c r="AG176" s="11">
        <f t="shared" si="36"/>
        <v>0.12821229940201223</v>
      </c>
      <c r="AH176" s="11">
        <f t="shared" si="37"/>
        <v>2.6606453284502374</v>
      </c>
      <c r="AI176" s="11">
        <f t="shared" si="38"/>
        <v>152.44374810139729</v>
      </c>
      <c r="AJ176" s="11">
        <f t="shared" si="39"/>
        <v>-17.841406219244419</v>
      </c>
      <c r="AL176" s="11" t="str">
        <f t="shared" si="42"/>
        <v>0.0154333446699483-0.0000907597745253485i</v>
      </c>
      <c r="AM176" s="11" t="str">
        <f t="shared" si="43"/>
        <v>0.0138260663720049-0.0542611409293909i</v>
      </c>
      <c r="AN176" s="11" t="str">
        <f t="shared" si="47"/>
        <v>-0.0863347012509796+0.347349492655885i</v>
      </c>
      <c r="AO176" s="11">
        <f t="shared" si="48"/>
        <v>0.35791807818046384</v>
      </c>
      <c r="AP176" s="11">
        <f t="shared" si="49"/>
        <v>1.8144124894865064</v>
      </c>
      <c r="AQ176" s="11">
        <f t="shared" si="50"/>
        <v>103.95817794340167</v>
      </c>
      <c r="AR176" s="11">
        <f t="shared" si="51"/>
        <v>-8.9243273031842989</v>
      </c>
      <c r="AS176" s="11">
        <f t="shared" si="52"/>
        <v>-26.765733522428718</v>
      </c>
      <c r="AT176" s="11">
        <f t="shared" si="53"/>
        <v>256.40192604479898</v>
      </c>
    </row>
    <row r="177" spans="25:46" x14ac:dyDescent="0.25">
      <c r="Y177" s="11">
        <v>175</v>
      </c>
      <c r="Z177" s="11">
        <f t="shared" si="44"/>
        <v>177827.94100389219</v>
      </c>
      <c r="AA177" s="11" t="str">
        <f t="shared" si="45"/>
        <v>1117325.90612165i</v>
      </c>
      <c r="AB177" s="11">
        <f>$T$6/'5. Current Sense Resistor'!$B$11</f>
        <v>100</v>
      </c>
      <c r="AD177" s="11" t="str">
        <f t="shared" si="40"/>
        <v>0.00410618254654234-0.00036597986744686i</v>
      </c>
      <c r="AE177" s="11" t="str">
        <f t="shared" si="41"/>
        <v>-1.83106766040062+0.857202372351653i</v>
      </c>
      <c r="AF177" s="11" t="str">
        <f t="shared" si="46"/>
        <v>-0.108011152898708+0.0628125012675131i</v>
      </c>
      <c r="AG177" s="11">
        <f t="shared" si="36"/>
        <v>0.12494726674077111</v>
      </c>
      <c r="AH177" s="11">
        <f t="shared" si="37"/>
        <v>2.6148593879374706</v>
      </c>
      <c r="AI177" s="11">
        <f t="shared" si="38"/>
        <v>149.82040694897873</v>
      </c>
      <c r="AJ177" s="11">
        <f t="shared" si="39"/>
        <v>-18.065464795133824</v>
      </c>
      <c r="AL177" s="11" t="str">
        <f t="shared" si="42"/>
        <v>0.0154333435903704-0.0000847019500080229i</v>
      </c>
      <c r="AM177" s="11" t="str">
        <f t="shared" si="43"/>
        <v>0.0134418348673148-0.0506591731970386i</v>
      </c>
      <c r="AN177" s="11" t="str">
        <f t="shared" si="47"/>
        <v>-0.0841412334608662+0.32427801820437i</v>
      </c>
      <c r="AO177" s="11">
        <f t="shared" si="48"/>
        <v>0.33501638804522638</v>
      </c>
      <c r="AP177" s="11">
        <f t="shared" si="49"/>
        <v>1.8246702385429243</v>
      </c>
      <c r="AQ177" s="11">
        <f t="shared" si="50"/>
        <v>104.54590367163873</v>
      </c>
      <c r="AR177" s="11">
        <f t="shared" si="51"/>
        <v>-9.4986789599478296</v>
      </c>
      <c r="AS177" s="11">
        <f t="shared" si="52"/>
        <v>-27.564143755081652</v>
      </c>
      <c r="AT177" s="11">
        <f t="shared" si="53"/>
        <v>254.36631062061747</v>
      </c>
    </row>
    <row r="178" spans="25:46" x14ac:dyDescent="0.25">
      <c r="Y178" s="11">
        <v>176</v>
      </c>
      <c r="Z178" s="11">
        <f t="shared" si="44"/>
        <v>190546.07179632425</v>
      </c>
      <c r="AA178" s="11" t="str">
        <f t="shared" si="45"/>
        <v>1197236.27865145i</v>
      </c>
      <c r="AB178" s="11">
        <f>$T$6/'5. Current Sense Resistor'!$B$11</f>
        <v>100</v>
      </c>
      <c r="AD178" s="11" t="str">
        <f t="shared" si="40"/>
        <v>0.00410616519198361-0.000341552291251823i</v>
      </c>
      <c r="AE178" s="11" t="str">
        <f t="shared" si="41"/>
        <v>-1.735723663708+0.924010307281583i</v>
      </c>
      <c r="AF178" s="11" t="str">
        <f t="shared" si="46"/>
        <v>-0.102113487041333+0.0657660044417322i</v>
      </c>
      <c r="AG178" s="11">
        <f t="shared" si="36"/>
        <v>0.12145917658197103</v>
      </c>
      <c r="AH178" s="11">
        <f t="shared" si="37"/>
        <v>2.5694128819690309</v>
      </c>
      <c r="AI178" s="11">
        <f t="shared" si="38"/>
        <v>147.21651396337103</v>
      </c>
      <c r="AJ178" s="11">
        <f t="shared" si="39"/>
        <v>-18.311393349024325</v>
      </c>
      <c r="AL178" s="11" t="str">
        <f t="shared" si="42"/>
        <v>0.0154333426500973-0.0000790484592063709i</v>
      </c>
      <c r="AM178" s="11" t="str">
        <f t="shared" si="43"/>
        <v>0.0131069391855256-0.0472939401490874i</v>
      </c>
      <c r="AN178" s="11" t="str">
        <f t="shared" si="47"/>
        <v>-0.0822294100606639+0.302725454981117i</v>
      </c>
      <c r="AO178" s="11">
        <f t="shared" si="48"/>
        <v>0.31369471938884963</v>
      </c>
      <c r="AP178" s="11">
        <f t="shared" si="49"/>
        <v>1.8360270754599992</v>
      </c>
      <c r="AQ178" s="11">
        <f t="shared" si="50"/>
        <v>105.19660249560548</v>
      </c>
      <c r="AR178" s="11">
        <f t="shared" si="51"/>
        <v>-10.069855839598567</v>
      </c>
      <c r="AS178" s="11">
        <f t="shared" si="52"/>
        <v>-28.381249188622892</v>
      </c>
      <c r="AT178" s="11">
        <f t="shared" si="53"/>
        <v>252.4131164589765</v>
      </c>
    </row>
    <row r="179" spans="25:46" x14ac:dyDescent="0.25">
      <c r="Y179" s="11">
        <v>177</v>
      </c>
      <c r="Z179" s="11">
        <f t="shared" si="44"/>
        <v>204173.79446695274</v>
      </c>
      <c r="AA179" s="11" t="str">
        <f t="shared" si="45"/>
        <v>1282861.78550586i</v>
      </c>
      <c r="AB179" s="11">
        <f>$T$6/'5. Current Sense Resistor'!$B$11</f>
        <v>100</v>
      </c>
      <c r="AD179" s="11" t="str">
        <f t="shared" si="40"/>
        <v>0.00410615007679433-0.00031875514959574i</v>
      </c>
      <c r="AE179" s="11" t="str">
        <f t="shared" si="41"/>
        <v>-1.63634558865145+0.980198223966999i</v>
      </c>
      <c r="AF179" s="11" t="str">
        <f t="shared" si="46"/>
        <v>-0.096043064074793+0.0681564269169167i</v>
      </c>
      <c r="AG179" s="11">
        <f t="shared" si="36"/>
        <v>0.1177691329973852</v>
      </c>
      <c r="AH179" s="11">
        <f t="shared" si="37"/>
        <v>2.5244231919411013</v>
      </c>
      <c r="AI179" s="11">
        <f t="shared" si="38"/>
        <v>144.63879460316883</v>
      </c>
      <c r="AJ179" s="11">
        <f t="shared" si="39"/>
        <v>-18.57937044318756</v>
      </c>
      <c r="AL179" s="11" t="str">
        <f t="shared" si="42"/>
        <v>0.0154333418311538-0.0000737723145870838i</v>
      </c>
      <c r="AM179" s="11" t="str">
        <f t="shared" si="43"/>
        <v>0.0128150719339655-0.0441503263593335i</v>
      </c>
      <c r="AN179" s="11" t="str">
        <f t="shared" si="47"/>
        <v>-0.080563223844043+0.282594335266956i</v>
      </c>
      <c r="AO179" s="11">
        <f t="shared" si="48"/>
        <v>0.29385369039901144</v>
      </c>
      <c r="AP179" s="11">
        <f t="shared" si="49"/>
        <v>1.8485135003250115</v>
      </c>
      <c r="AQ179" s="11">
        <f t="shared" si="50"/>
        <v>105.91202194157788</v>
      </c>
      <c r="AR179" s="11">
        <f t="shared" si="51"/>
        <v>-10.637377015454968</v>
      </c>
      <c r="AS179" s="11">
        <f t="shared" si="52"/>
        <v>-29.21674745864253</v>
      </c>
      <c r="AT179" s="11">
        <f t="shared" si="53"/>
        <v>250.55081654474671</v>
      </c>
    </row>
    <row r="180" spans="25:46" x14ac:dyDescent="0.25">
      <c r="Y180" s="11">
        <v>178</v>
      </c>
      <c r="Z180" s="11">
        <f t="shared" si="44"/>
        <v>218776.16239495497</v>
      </c>
      <c r="AA180" s="11" t="str">
        <f t="shared" si="45"/>
        <v>1374611.16912112i</v>
      </c>
      <c r="AB180" s="11">
        <f>$T$6/'5. Current Sense Resistor'!$B$11</f>
        <v>100</v>
      </c>
      <c r="AD180" s="11" t="str">
        <f t="shared" si="40"/>
        <v>0.00410613691201445-0.000297479618193812i</v>
      </c>
      <c r="AE180" s="11" t="str">
        <f t="shared" si="41"/>
        <v>-1.53429683667064+1.02564728619542i</v>
      </c>
      <c r="AF180" s="11" t="str">
        <f t="shared" si="46"/>
        <v>-0.0898709903906557+0.0699768903891488i</v>
      </c>
      <c r="AG180" s="11">
        <f t="shared" si="36"/>
        <v>0.11390153687432086</v>
      </c>
      <c r="AH180" s="11">
        <f t="shared" si="37"/>
        <v>2.4800142626453088</v>
      </c>
      <c r="AI180" s="11">
        <f t="shared" si="38"/>
        <v>142.09435038182505</v>
      </c>
      <c r="AJ180" s="11">
        <f t="shared" si="39"/>
        <v>-18.869408318851018</v>
      </c>
      <c r="AL180" s="11" t="str">
        <f t="shared" si="42"/>
        <v>0.0154333411178838-0.0000688483299180215i</v>
      </c>
      <c r="AM180" s="11" t="str">
        <f t="shared" si="43"/>
        <v>0.012560725490017-0.0412140979604071i</v>
      </c>
      <c r="AN180" s="11" t="str">
        <f t="shared" si="47"/>
        <v>-0.0791112332932383+0.263792970146486i</v>
      </c>
      <c r="AO180" s="11">
        <f t="shared" si="48"/>
        <v>0.27540028745787837</v>
      </c>
      <c r="AP180" s="11">
        <f t="shared" si="49"/>
        <v>1.8621604071561415</v>
      </c>
      <c r="AQ180" s="11">
        <f t="shared" si="50"/>
        <v>106.69393210640989</v>
      </c>
      <c r="AR180" s="11">
        <f t="shared" si="51"/>
        <v>-11.200712215401422</v>
      </c>
      <c r="AS180" s="11">
        <f t="shared" si="52"/>
        <v>-30.070120534252439</v>
      </c>
      <c r="AT180" s="11">
        <f t="shared" si="53"/>
        <v>248.78828248823493</v>
      </c>
    </row>
    <row r="181" spans="25:46" x14ac:dyDescent="0.25">
      <c r="Y181" s="11">
        <v>179</v>
      </c>
      <c r="Z181" s="11">
        <f t="shared" si="44"/>
        <v>234422.88153199226</v>
      </c>
      <c r="AA181" s="11" t="str">
        <f t="shared" si="45"/>
        <v>1472922.40490851i</v>
      </c>
      <c r="AB181" s="11">
        <f>$T$6/'5. Current Sense Resistor'!$B$11</f>
        <v>100</v>
      </c>
      <c r="AD181" s="11" t="str">
        <f t="shared" si="40"/>
        <v>0.00410612544597022-0.000277624136275198i</v>
      </c>
      <c r="AE181" s="11" t="str">
        <f t="shared" si="41"/>
        <v>-1.43093497312282+1.06044240009709i</v>
      </c>
      <c r="AF181" s="11" t="str">
        <f t="shared" si="46"/>
        <v>-0.0836686946098943+0.0712316731508475i</v>
      </c>
      <c r="AG181" s="11">
        <f t="shared" si="36"/>
        <v>0.10988358256624566</v>
      </c>
      <c r="AH181" s="11">
        <f t="shared" si="37"/>
        <v>2.4363130800410184</v>
      </c>
      <c r="AI181" s="11">
        <f t="shared" si="38"/>
        <v>139.59045705886868</v>
      </c>
      <c r="AJ181" s="11">
        <f t="shared" si="39"/>
        <v>-19.181343791839176</v>
      </c>
      <c r="AL181" s="11" t="str">
        <f t="shared" si="42"/>
        <v>0.0154333404966516-0.0000642530000392256i</v>
      </c>
      <c r="AM181" s="11" t="str">
        <f t="shared" si="43"/>
        <v>0.0123390921871901-0.0384718673475565i</v>
      </c>
      <c r="AN181" s="11" t="str">
        <f t="shared" si="47"/>
        <v>-0.0778459927620656+0.246235198176615i</v>
      </c>
      <c r="AO181" s="11">
        <f t="shared" si="48"/>
        <v>0.25824750029804433</v>
      </c>
      <c r="AP181" s="11">
        <f t="shared" si="49"/>
        <v>1.8769983269356827</v>
      </c>
      <c r="AQ181" s="11">
        <f t="shared" si="50"/>
        <v>107.54408228653128</v>
      </c>
      <c r="AR181" s="11">
        <f t="shared" si="51"/>
        <v>-11.75927747066982</v>
      </c>
      <c r="AS181" s="11">
        <f t="shared" si="52"/>
        <v>-30.940621262508998</v>
      </c>
      <c r="AT181" s="11">
        <f t="shared" si="53"/>
        <v>247.13453934539996</v>
      </c>
    </row>
    <row r="182" spans="25:46" x14ac:dyDescent="0.25">
      <c r="Y182" s="11">
        <v>180</v>
      </c>
      <c r="Z182" s="11">
        <f t="shared" si="44"/>
        <v>251188.64315095753</v>
      </c>
      <c r="AA182" s="11" t="str">
        <f t="shared" si="45"/>
        <v>1578264.79197647i</v>
      </c>
      <c r="AB182" s="11">
        <f>$T$6/'5. Current Sense Resistor'!$B$11</f>
        <v>100</v>
      </c>
      <c r="AD182" s="11" t="str">
        <f t="shared" si="40"/>
        <v>0.00410611545946295-0.00025909392178199i</v>
      </c>
      <c r="AE182" s="11" t="str">
        <f t="shared" si="41"/>
        <v>-1.32757153935715+1.08486842576465i</v>
      </c>
      <c r="AF182" s="11" t="str">
        <f t="shared" si="46"/>
        <v>-0.0775055965663371+0.0719360956160425i</v>
      </c>
      <c r="AG182" s="11">
        <f t="shared" si="36"/>
        <v>0.10574459490481873</v>
      </c>
      <c r="AH182" s="11">
        <f t="shared" si="37"/>
        <v>2.39344597212785</v>
      </c>
      <c r="AI182" s="11">
        <f t="shared" si="38"/>
        <v>137.13435269551226</v>
      </c>
      <c r="AJ182" s="11">
        <f t="shared" si="39"/>
        <v>-19.514836443692662</v>
      </c>
      <c r="AL182" s="11" t="str">
        <f t="shared" si="42"/>
        <v>0.0154333399555809-0.0000599643886586701i</v>
      </c>
      <c r="AM182" s="11" t="str">
        <f t="shared" si="43"/>
        <v>0.0121459765708258-0.0359110559153307i</v>
      </c>
      <c r="AN182" s="11" t="str">
        <f t="shared" si="47"/>
        <v>-0.0767435515629556+0.229840126156793i</v>
      </c>
      <c r="AO182" s="11">
        <f t="shared" si="48"/>
        <v>0.24231396224375221</v>
      </c>
      <c r="AP182" s="11">
        <f t="shared" si="49"/>
        <v>1.8930565339142553</v>
      </c>
      <c r="AQ182" s="11">
        <f t="shared" si="50"/>
        <v>108.46414977295102</v>
      </c>
      <c r="AR182" s="11">
        <f t="shared" si="51"/>
        <v>-12.312431217809854</v>
      </c>
      <c r="AS182" s="11">
        <f t="shared" si="52"/>
        <v>-31.827267661502518</v>
      </c>
      <c r="AT182" s="11">
        <f t="shared" si="53"/>
        <v>245.59850246846327</v>
      </c>
    </row>
    <row r="183" spans="25:46" x14ac:dyDescent="0.25">
      <c r="Y183" s="11">
        <v>181</v>
      </c>
      <c r="Z183" s="11">
        <f t="shared" si="44"/>
        <v>269153.48039269098</v>
      </c>
      <c r="AA183" s="11" t="str">
        <f t="shared" si="45"/>
        <v>1691141.1933796i</v>
      </c>
      <c r="AB183" s="11">
        <f>$T$6/'5. Current Sense Resistor'!$B$11</f>
        <v>100</v>
      </c>
      <c r="AD183" s="11" t="str">
        <f t="shared" si="40"/>
        <v>0.00410610676157857-0.000241800518925226i</v>
      </c>
      <c r="AE183" s="11" t="str">
        <f t="shared" si="41"/>
        <v>-1.22543363303946+1.09939625689495i</v>
      </c>
      <c r="AF183" s="11" t="str">
        <f t="shared" si="46"/>
        <v>-0.0714468735433395+0.0721158123209472i</v>
      </c>
      <c r="AG183" s="11">
        <f t="shared" si="36"/>
        <v>0.1015152507056355</v>
      </c>
      <c r="AH183" s="11">
        <f t="shared" si="37"/>
        <v>2.3515349651045772</v>
      </c>
      <c r="AI183" s="11">
        <f t="shared" si="38"/>
        <v>134.7330288779356</v>
      </c>
      <c r="AJ183" s="11">
        <f t="shared" si="39"/>
        <v>-19.869374169839706</v>
      </c>
      <c r="AL183" s="11" t="str">
        <f t="shared" si="42"/>
        <v>0.0154333394843281-0.0000559620236371519i</v>
      </c>
      <c r="AM183" s="11" t="str">
        <f t="shared" si="43"/>
        <v>0.011977718359083-0.0335198557433072i</v>
      </c>
      <c r="AN183" s="11" t="str">
        <f t="shared" si="47"/>
        <v>-0.0757830141688681+0.214531867007721i</v>
      </c>
      <c r="AO183" s="11">
        <f t="shared" si="48"/>
        <v>0.22752359701432587</v>
      </c>
      <c r="AP183" s="11">
        <f t="shared" si="49"/>
        <v>1.9103620055691111</v>
      </c>
      <c r="AQ183" s="11">
        <f t="shared" si="50"/>
        <v>109.45568026125754</v>
      </c>
      <c r="AR183" s="11">
        <f t="shared" si="51"/>
        <v>-12.859471099111639</v>
      </c>
      <c r="AS183" s="11">
        <f t="shared" si="52"/>
        <v>-32.728845268951346</v>
      </c>
      <c r="AT183" s="11">
        <f t="shared" si="53"/>
        <v>244.18870913919312</v>
      </c>
    </row>
    <row r="184" spans="25:46" x14ac:dyDescent="0.25">
      <c r="Y184" s="11">
        <v>182</v>
      </c>
      <c r="Z184" s="11">
        <f t="shared" si="44"/>
        <v>288403.15031266044</v>
      </c>
      <c r="AA184" s="11" t="str">
        <f t="shared" si="45"/>
        <v>1812090.43658881i</v>
      </c>
      <c r="AB184" s="11">
        <f>$T$6/'5. Current Sense Resistor'!$B$11</f>
        <v>100</v>
      </c>
      <c r="AD184" s="11" t="str">
        <f t="shared" si="40"/>
        <v>0.00410609918603785-0.000225661375938467i</v>
      </c>
      <c r="AE184" s="11" t="str">
        <f t="shared" si="41"/>
        <v>-1.1256302714186+1.10465979963331i</v>
      </c>
      <c r="AF184" s="11" t="str">
        <f t="shared" si="46"/>
        <v>-0.0655514976593292+0.0718055711282888i</v>
      </c>
      <c r="AG184" s="11">
        <f t="shared" si="36"/>
        <v>9.7226739585572777E-2</v>
      </c>
      <c r="AH184" s="11">
        <f t="shared" si="37"/>
        <v>2.310694414498252</v>
      </c>
      <c r="AI184" s="11">
        <f t="shared" si="38"/>
        <v>132.39303769520271</v>
      </c>
      <c r="AJ184" s="11">
        <f t="shared" si="39"/>
        <v>-20.244285553858163</v>
      </c>
      <c r="AL184" s="11" t="str">
        <f t="shared" si="42"/>
        <v>0.0154333390738841-0.0000522267992624471i</v>
      </c>
      <c r="AM184" s="11" t="str">
        <f t="shared" si="43"/>
        <v>0.0118311248751309-0.0312871909459783i</v>
      </c>
      <c r="AN184" s="11" t="str">
        <f t="shared" si="47"/>
        <v>-0.0749461544847207+0.200239278632699i</v>
      </c>
      <c r="AO184" s="11">
        <f t="shared" si="48"/>
        <v>0.21380527303925709</v>
      </c>
      <c r="AP184" s="11">
        <f t="shared" si="49"/>
        <v>1.928938231128146</v>
      </c>
      <c r="AQ184" s="11">
        <f t="shared" si="50"/>
        <v>110.52001958507329</v>
      </c>
      <c r="AR184" s="11">
        <f t="shared" si="51"/>
        <v>-13.399631761439819</v>
      </c>
      <c r="AS184" s="11">
        <f t="shared" si="52"/>
        <v>-33.643917315297983</v>
      </c>
      <c r="AT184" s="11">
        <f t="shared" si="53"/>
        <v>242.91305728027601</v>
      </c>
    </row>
    <row r="185" spans="25:46" x14ac:dyDescent="0.25">
      <c r="Y185" s="11">
        <v>183</v>
      </c>
      <c r="Z185" s="11">
        <f t="shared" si="44"/>
        <v>309029.54325135821</v>
      </c>
      <c r="AA185" s="11" t="str">
        <f t="shared" si="45"/>
        <v>1941689.88564135i</v>
      </c>
      <c r="AB185" s="11">
        <f>$T$6/'5. Current Sense Resistor'!$B$11</f>
        <v>100</v>
      </c>
      <c r="AD185" s="11" t="str">
        <f t="shared" si="40"/>
        <v>0.0041060925880176-0.000210599451013609i</v>
      </c>
      <c r="AE185" s="11" t="str">
        <f t="shared" si="41"/>
        <v>-1.02912595796065+1.10142582797019i</v>
      </c>
      <c r="AF185" s="11" t="str">
        <f t="shared" si="46"/>
        <v>-0.0598706838519154+0.0710475541748223i</v>
      </c>
      <c r="AG185" s="11">
        <f t="shared" ref="AG185:AG202" si="54">IMABS(AF185)</f>
        <v>9.2909922716146481E-2</v>
      </c>
      <c r="AH185" s="11">
        <f t="shared" ref="AH185:AH202" si="55">IMARGUMENT(AF185)</f>
        <v>2.2710280970588443</v>
      </c>
      <c r="AI185" s="11">
        <f t="shared" ref="AI185:AI202" si="56">AH185/(PI())*180</f>
        <v>130.12032511709847</v>
      </c>
      <c r="AJ185" s="11">
        <f t="shared" ref="AJ185:AJ202" si="57">20*LOG(AG185,10)</f>
        <v>-20.638758023520005</v>
      </c>
      <c r="AL185" s="11" t="str">
        <f t="shared" si="42"/>
        <v>0.0154333387164023-0.0000487408850462371i</v>
      </c>
      <c r="AM185" s="11" t="str">
        <f t="shared" si="43"/>
        <v>0.0117034118407107-0.0292026792384658i</v>
      </c>
      <c r="AN185" s="11" t="str">
        <f t="shared" si="47"/>
        <v>-0.0742170778523263+0.186895706716777i</v>
      </c>
      <c r="AO185" s="11">
        <f t="shared" si="48"/>
        <v>0.20109246588100158</v>
      </c>
      <c r="AP185" s="11">
        <f t="shared" si="49"/>
        <v>1.948803870375809</v>
      </c>
      <c r="AQ185" s="11">
        <f t="shared" si="50"/>
        <v>111.65823687129382</v>
      </c>
      <c r="AR185" s="11">
        <f t="shared" si="51"/>
        <v>-13.932084007021006</v>
      </c>
      <c r="AS185" s="11">
        <f t="shared" si="52"/>
        <v>-34.570842030541009</v>
      </c>
      <c r="AT185" s="11">
        <f t="shared" si="53"/>
        <v>241.77856198839231</v>
      </c>
    </row>
    <row r="186" spans="25:46" x14ac:dyDescent="0.25">
      <c r="Y186" s="11">
        <v>184</v>
      </c>
      <c r="Z186" s="11">
        <f t="shared" si="44"/>
        <v>331131.12148259068</v>
      </c>
      <c r="AA186" s="11" t="str">
        <f t="shared" si="45"/>
        <v>2080558.19724931i</v>
      </c>
      <c r="AB186" s="11">
        <f>$T$6/'5. Current Sense Resistor'!$B$11</f>
        <v>100</v>
      </c>
      <c r="AD186" s="11" t="str">
        <f t="shared" si="40"/>
        <v>0.00410608684138213-0.000196542844538053i</v>
      </c>
      <c r="AE186" s="11" t="str">
        <f t="shared" si="41"/>
        <v>-0.936722992817775+1.09055931666853i</v>
      </c>
      <c r="AF186" s="11" t="str">
        <f t="shared" si="46"/>
        <v>-0.0544468373175414+0.0698894504806199i</v>
      </c>
      <c r="AG186" s="11">
        <f t="shared" si="54"/>
        <v>8.8594544879274831E-2</v>
      </c>
      <c r="AH186" s="11">
        <f t="shared" si="55"/>
        <v>2.2326268992802043</v>
      </c>
      <c r="AI186" s="11">
        <f t="shared" si="56"/>
        <v>127.92009855613523</v>
      </c>
      <c r="AJ186" s="11">
        <f t="shared" si="57"/>
        <v>-21.051860370784027</v>
      </c>
      <c r="AL186" s="11" t="str">
        <f t="shared" si="42"/>
        <v>0.0154333384050487-0.0000454876406084371i</v>
      </c>
      <c r="AM186" s="11" t="str">
        <f t="shared" si="43"/>
        <v>0.0115921515376923-0.0272565941373983i</v>
      </c>
      <c r="AN186" s="11" t="str">
        <f t="shared" si="47"/>
        <v>-0.0735819251177382+0.174438733676472i</v>
      </c>
      <c r="AO186" s="11">
        <f t="shared" si="48"/>
        <v>0.18932292917310245</v>
      </c>
      <c r="AP186" s="11">
        <f t="shared" si="49"/>
        <v>1.9699712738996888</v>
      </c>
      <c r="AQ186" s="11">
        <f t="shared" si="50"/>
        <v>112.87103975646248</v>
      </c>
      <c r="AR186" s="11">
        <f t="shared" si="51"/>
        <v>-14.45593569639084</v>
      </c>
      <c r="AS186" s="11">
        <f t="shared" si="52"/>
        <v>-35.507796067174866</v>
      </c>
      <c r="AT186" s="11">
        <f t="shared" si="53"/>
        <v>240.7911383125977</v>
      </c>
    </row>
    <row r="187" spans="25:46" x14ac:dyDescent="0.25">
      <c r="Y187" s="11">
        <v>185</v>
      </c>
      <c r="Z187" s="11">
        <f t="shared" si="44"/>
        <v>354813.38923357491</v>
      </c>
      <c r="AA187" s="11" t="str">
        <f t="shared" si="45"/>
        <v>2229358.27402299i</v>
      </c>
      <c r="AB187" s="11">
        <f>$T$6/'5. Current Sense Resistor'!$B$11</f>
        <v>100</v>
      </c>
      <c r="AD187" s="11" t="str">
        <f t="shared" si="40"/>
        <v>0.00410608183627182-0.000183424455877857i</v>
      </c>
      <c r="AE187" s="11" t="str">
        <f t="shared" si="41"/>
        <v>-0.849053068321937+1.07298708369561i</v>
      </c>
      <c r="AF187" s="11" t="str">
        <f t="shared" si="46"/>
        <v>-0.049313031982279+0.0683824231249985i</v>
      </c>
      <c r="AG187" s="11">
        <f t="shared" si="54"/>
        <v>8.4308545923480374E-2</v>
      </c>
      <c r="AH187" s="11">
        <f t="shared" si="55"/>
        <v>2.1955671799291157</v>
      </c>
      <c r="AI187" s="11">
        <f t="shared" si="56"/>
        <v>125.79673304737855</v>
      </c>
      <c r="AJ187" s="11">
        <f t="shared" si="57"/>
        <v>-21.482568018940796</v>
      </c>
      <c r="AL187" s="11" t="str">
        <f t="shared" si="42"/>
        <v>0.0154333381338709-0.0000424515362426241i</v>
      </c>
      <c r="AM187" s="11" t="str">
        <f t="shared" si="43"/>
        <v>0.0114952274520253-0.0254398281096466i</v>
      </c>
      <c r="AN187" s="11" t="str">
        <f t="shared" si="47"/>
        <v>-0.0730286137052017+0.162809935376204i</v>
      </c>
      <c r="AO187" s="11">
        <f t="shared" si="48"/>
        <v>0.17843837445153801</v>
      </c>
      <c r="AP187" s="11">
        <f t="shared" si="49"/>
        <v>1.9924448882274295</v>
      </c>
      <c r="AQ187" s="11">
        <f t="shared" si="50"/>
        <v>114.15868300784675</v>
      </c>
      <c r="AR187" s="11">
        <f t="shared" si="51"/>
        <v>-14.970234835479379</v>
      </c>
      <c r="AS187" s="11">
        <f t="shared" si="52"/>
        <v>-36.452802854420177</v>
      </c>
      <c r="AT187" s="11">
        <f t="shared" si="53"/>
        <v>239.9554160552253</v>
      </c>
    </row>
    <row r="188" spans="25:46" x14ac:dyDescent="0.25">
      <c r="Y188" s="11">
        <v>186</v>
      </c>
      <c r="Z188" s="11">
        <f t="shared" si="44"/>
        <v>380189.39632056118</v>
      </c>
      <c r="AA188" s="11" t="str">
        <f t="shared" si="45"/>
        <v>2388800.42890683i</v>
      </c>
      <c r="AB188" s="11">
        <f>$T$6/'5. Current Sense Resistor'!$B$11</f>
        <v>100</v>
      </c>
      <c r="AD188" s="11" t="str">
        <f t="shared" si="40"/>
        <v>0.00410607747700294-0.000171181663068661i</v>
      </c>
      <c r="AE188" s="11" t="str">
        <f t="shared" si="41"/>
        <v>-0.766577741474603+1.04966242405239i</v>
      </c>
      <c r="AF188" s="11" t="str">
        <f t="shared" si="46"/>
        <v>-0.0444929972371442+0.0665791251664486i</v>
      </c>
      <c r="AG188" s="11">
        <f t="shared" si="54"/>
        <v>8.0077504400887456E-2</v>
      </c>
      <c r="AH188" s="11">
        <f t="shared" si="55"/>
        <v>2.159909824990943</v>
      </c>
      <c r="AI188" s="11">
        <f t="shared" si="56"/>
        <v>123.75371710082131</v>
      </c>
      <c r="AJ188" s="11">
        <f t="shared" si="57"/>
        <v>-21.929789400337999</v>
      </c>
      <c r="AL188" s="11" t="str">
        <f t="shared" si="42"/>
        <v>0.0154333378976851-0.0000396180787833721i</v>
      </c>
      <c r="AM188" s="11" t="str">
        <f t="shared" si="43"/>
        <v>0.0114107946131952-0.0237438568960705i</v>
      </c>
      <c r="AN188" s="11" t="str">
        <f t="shared" si="47"/>
        <v>-0.0725466112054776+0.151954646750664i</v>
      </c>
      <c r="AO188" s="11">
        <f t="shared" si="48"/>
        <v>0.16838416037893175</v>
      </c>
      <c r="AP188" s="11">
        <f t="shared" si="49"/>
        <v>2.0162195843757402</v>
      </c>
      <c r="AQ188" s="11">
        <f t="shared" si="50"/>
        <v>115.52087275635088</v>
      </c>
      <c r="AR188" s="11">
        <f t="shared" si="51"/>
        <v>-15.473975285654483</v>
      </c>
      <c r="AS188" s="11">
        <f t="shared" si="52"/>
        <v>-37.403764685992485</v>
      </c>
      <c r="AT188" s="11">
        <f t="shared" si="53"/>
        <v>239.2745898571722</v>
      </c>
    </row>
    <row r="189" spans="25:46" x14ac:dyDescent="0.25">
      <c r="Y189" s="11">
        <v>187</v>
      </c>
      <c r="Z189" s="11">
        <f t="shared" si="44"/>
        <v>407380.27780411189</v>
      </c>
      <c r="AA189" s="11" t="str">
        <f t="shared" si="45"/>
        <v>2559645.77593353i</v>
      </c>
      <c r="AB189" s="11">
        <f>$T$6/'5. Current Sense Resistor'!$B$11</f>
        <v>100</v>
      </c>
      <c r="AD189" s="11" t="str">
        <f t="shared" si="40"/>
        <v>0.00410607368023843-0.000159756023885467i</v>
      </c>
      <c r="AE189" s="11" t="str">
        <f t="shared" si="41"/>
        <v>-0.689596611468272+1.02153296494142i</v>
      </c>
      <c r="AF189" s="11" t="str">
        <f t="shared" si="46"/>
        <v>-0.040001546452325+0.0645318925668203i</v>
      </c>
      <c r="AG189" s="11">
        <f t="shared" si="54"/>
        <v>7.5924231157339706E-2</v>
      </c>
      <c r="AH189" s="11">
        <f t="shared" si="55"/>
        <v>2.1256999610349823</v>
      </c>
      <c r="AI189" s="11">
        <f t="shared" si="56"/>
        <v>121.79363627842804</v>
      </c>
      <c r="AJ189" s="11">
        <f t="shared" si="57"/>
        <v>-22.392391944944798</v>
      </c>
      <c r="AL189" s="11" t="str">
        <f t="shared" si="42"/>
        <v>0.0154333376919757-0.0000369737424216212i</v>
      </c>
      <c r="AM189" s="11" t="str">
        <f t="shared" si="43"/>
        <v>0.0113372449319691-0.0221607051691879i</v>
      </c>
      <c r="AN189" s="11" t="str">
        <f t="shared" si="47"/>
        <v>-0.0721267374982256+0.14182173709326i</v>
      </c>
      <c r="AO189" s="11">
        <f t="shared" si="48"/>
        <v>0.15910899212265692</v>
      </c>
      <c r="AP189" s="11">
        <f t="shared" si="49"/>
        <v>2.0412789656966353</v>
      </c>
      <c r="AQ189" s="11">
        <f t="shared" si="50"/>
        <v>116.95666954324714</v>
      </c>
      <c r="AR189" s="11">
        <f t="shared" si="51"/>
        <v>-15.966105505887294</v>
      </c>
      <c r="AS189" s="11">
        <f t="shared" si="52"/>
        <v>-38.35849745083209</v>
      </c>
      <c r="AT189" s="11">
        <f t="shared" si="53"/>
        <v>238.75030582167517</v>
      </c>
    </row>
    <row r="190" spans="25:46" x14ac:dyDescent="0.25">
      <c r="Y190" s="11">
        <v>188</v>
      </c>
      <c r="Z190" s="11">
        <f t="shared" si="44"/>
        <v>436515.83224016492</v>
      </c>
      <c r="AA190" s="11" t="str">
        <f t="shared" si="45"/>
        <v>2742709.86348267i</v>
      </c>
      <c r="AB190" s="11">
        <f>$T$6/'5. Current Sense Resistor'!$B$11</f>
        <v>100</v>
      </c>
      <c r="AD190" s="11" t="str">
        <f t="shared" si="40"/>
        <v>0.00410607037339476-0.000149092996864399i</v>
      </c>
      <c r="AE190" s="11" t="str">
        <f t="shared" si="41"/>
        <v>-0.618261530196732+0.989513336805031i</v>
      </c>
      <c r="AF190" s="11" t="str">
        <f t="shared" si="46"/>
        <v>-0.0358453521486704+0.06229120602486i</v>
      </c>
      <c r="AG190" s="11">
        <f t="shared" si="54"/>
        <v>7.1868516185418396E-2</v>
      </c>
      <c r="AH190" s="11">
        <f t="shared" si="55"/>
        <v>2.0929672521411291</v>
      </c>
      <c r="AI190" s="11">
        <f t="shared" si="56"/>
        <v>119.9181902067799</v>
      </c>
      <c r="AJ190" s="11">
        <f t="shared" si="57"/>
        <v>-22.869226431969608</v>
      </c>
      <c r="AL190" s="11" t="str">
        <f t="shared" si="42"/>
        <v>0.0154333375128104-0.0000345059041378174i</v>
      </c>
      <c r="AM190" s="11" t="str">
        <f t="shared" si="43"/>
        <v>0.0112731769201486-0.0206829136295501i</v>
      </c>
      <c r="AN190" s="11" t="str">
        <f t="shared" si="47"/>
        <v>-0.0717609918902246+0.132363395471748i</v>
      </c>
      <c r="AO190" s="11">
        <f t="shared" si="48"/>
        <v>0.15056463202850542</v>
      </c>
      <c r="AP190" s="11">
        <f t="shared" si="49"/>
        <v>2.067593729501648</v>
      </c>
      <c r="AQ190" s="11">
        <f t="shared" si="50"/>
        <v>118.464394448158</v>
      </c>
      <c r="AR190" s="11">
        <f t="shared" si="51"/>
        <v>-16.445540658161576</v>
      </c>
      <c r="AS190" s="11">
        <f t="shared" si="52"/>
        <v>-39.314767090131184</v>
      </c>
      <c r="AT190" s="11">
        <f t="shared" si="53"/>
        <v>238.38258465493789</v>
      </c>
    </row>
    <row r="191" spans="25:46" x14ac:dyDescent="0.25">
      <c r="Y191" s="11">
        <v>189</v>
      </c>
      <c r="Z191" s="11">
        <f t="shared" si="44"/>
        <v>467735.14128719777</v>
      </c>
      <c r="AA191" s="11" t="str">
        <f t="shared" si="45"/>
        <v>2938866.56738729i</v>
      </c>
      <c r="AB191" s="11">
        <f>$T$6/'5. Current Sense Resistor'!$B$11</f>
        <v>100</v>
      </c>
      <c r="AD191" s="11" t="str">
        <f t="shared" si="40"/>
        <v>0.0041060674932543-0.000139141680944812i</v>
      </c>
      <c r="AE191" s="11" t="str">
        <f t="shared" si="41"/>
        <v>-0.552594955026688+0.954463561394064i</v>
      </c>
      <c r="AF191" s="11" t="str">
        <f t="shared" si="46"/>
        <v>-0.0320239601379664+0.0599044739820272i</v>
      </c>
      <c r="AG191" s="11">
        <f t="shared" si="54"/>
        <v>6.792701985205471E-2</v>
      </c>
      <c r="AH191" s="11">
        <f t="shared" si="55"/>
        <v>2.0617266786428816</v>
      </c>
      <c r="AI191" s="11">
        <f t="shared" si="56"/>
        <v>118.12823719576207</v>
      </c>
      <c r="AJ191" s="11">
        <f t="shared" si="57"/>
        <v>-23.359148774047057</v>
      </c>
      <c r="AL191" s="11" t="str">
        <f t="shared" si="42"/>
        <v>0.0154333373567639-0.0000322027834446105i</v>
      </c>
      <c r="AM191" s="11" t="str">
        <f t="shared" si="43"/>
        <v>0.011217369248694-0.0193035076029825i</v>
      </c>
      <c r="AN191" s="11" t="str">
        <f t="shared" si="47"/>
        <v>-0.0714424021658922+0.123534926497894i</v>
      </c>
      <c r="AO191" s="11">
        <f t="shared" si="48"/>
        <v>0.14270562319710162</v>
      </c>
      <c r="AP191" s="11">
        <f t="shared" si="49"/>
        <v>2.0951201750346815</v>
      </c>
      <c r="AQ191" s="11">
        <f t="shared" si="50"/>
        <v>120.04154360219756</v>
      </c>
      <c r="AR191" s="11">
        <f t="shared" si="51"/>
        <v>-16.911178270663424</v>
      </c>
      <c r="AS191" s="11">
        <f t="shared" si="52"/>
        <v>-40.270327044710484</v>
      </c>
      <c r="AT191" s="11">
        <f t="shared" si="53"/>
        <v>238.16978079795962</v>
      </c>
    </row>
    <row r="192" spans="25:46" x14ac:dyDescent="0.25">
      <c r="Y192" s="11">
        <v>190</v>
      </c>
      <c r="Z192" s="11">
        <f t="shared" si="44"/>
        <v>501187.23362727172</v>
      </c>
      <c r="AA192" s="11" t="str">
        <f t="shared" si="45"/>
        <v>3149052.26247286i</v>
      </c>
      <c r="AB192" s="11">
        <f>$T$6/'5. Current Sense Resistor'!$B$11</f>
        <v>100</v>
      </c>
      <c r="AD192" s="11" t="str">
        <f t="shared" si="40"/>
        <v>0.00410606498475682-0.000129854572488951i</v>
      </c>
      <c r="AE192" s="11" t="str">
        <f t="shared" si="41"/>
        <v>-0.492510583071907+0.917173412961665i</v>
      </c>
      <c r="AF192" s="11" t="str">
        <f t="shared" si="46"/>
        <v>-0.0285309365711649+0.0574151521879092i</v>
      </c>
      <c r="AG192" s="11">
        <f t="shared" si="54"/>
        <v>6.4113290684448654E-2</v>
      </c>
      <c r="AH192" s="11">
        <f t="shared" si="55"/>
        <v>2.0319796830580383</v>
      </c>
      <c r="AI192" s="11">
        <f t="shared" si="56"/>
        <v>116.42385989555626</v>
      </c>
      <c r="AJ192" s="11">
        <f t="shared" si="57"/>
        <v>-23.861038638141494</v>
      </c>
      <c r="AL192" s="11" t="str">
        <f t="shared" si="42"/>
        <v>0.0154333372208531-0.0000300533861514655i</v>
      </c>
      <c r="AM192" s="11" t="str">
        <f t="shared" si="43"/>
        <v>0.0111687576654987-0.0180159671675449i</v>
      </c>
      <c r="AN192" s="11" t="str">
        <f t="shared" si="47"/>
        <v>-0.0711648928172028+0.115294556496596i</v>
      </c>
      <c r="AO192" s="11">
        <f t="shared" si="48"/>
        <v>0.13548902807028593</v>
      </c>
      <c r="AP192" s="11">
        <f t="shared" si="49"/>
        <v>2.1237989655141458</v>
      </c>
      <c r="AQ192" s="11">
        <f t="shared" si="50"/>
        <v>121.68471725821082</v>
      </c>
      <c r="AR192" s="11">
        <f t="shared" si="51"/>
        <v>-17.361917452464976</v>
      </c>
      <c r="AS192" s="11">
        <f t="shared" si="52"/>
        <v>-41.222956090606473</v>
      </c>
      <c r="AT192" s="11">
        <f t="shared" si="53"/>
        <v>238.1085771537671</v>
      </c>
    </row>
    <row r="193" spans="25:46" x14ac:dyDescent="0.25">
      <c r="Y193" s="11">
        <v>191</v>
      </c>
      <c r="Z193" s="11">
        <f t="shared" si="44"/>
        <v>537031.79637025192</v>
      </c>
      <c r="AA193" s="11" t="str">
        <f t="shared" si="45"/>
        <v>3374270.29244183i</v>
      </c>
      <c r="AB193" s="11">
        <f>$T$6/'5. Current Sense Resistor'!$B$11</f>
        <v>100</v>
      </c>
      <c r="AD193" s="11" t="str">
        <f t="shared" si="40"/>
        <v>0.00410606279994683-0.000121187338519331i</v>
      </c>
      <c r="AE193" s="11" t="str">
        <f t="shared" si="41"/>
        <v>-0.437834620992483+0.878352483811362i</v>
      </c>
      <c r="AF193" s="11" t="str">
        <f t="shared" si="46"/>
        <v>-0.0253550540122124+0.0548621851980806i</v>
      </c>
      <c r="AG193" s="11">
        <f t="shared" si="54"/>
        <v>6.0437886533785269E-2</v>
      </c>
      <c r="AH193" s="11">
        <f t="shared" si="55"/>
        <v>2.0037155678938996</v>
      </c>
      <c r="AI193" s="11">
        <f t="shared" si="56"/>
        <v>114.8044453849794</v>
      </c>
      <c r="AJ193" s="11">
        <f t="shared" si="57"/>
        <v>-24.373814620201969</v>
      </c>
      <c r="AL193" s="11" t="str">
        <f t="shared" si="42"/>
        <v>0.0154333371024797-0.00002804745188274i</v>
      </c>
      <c r="AM193" s="11" t="str">
        <f t="shared" si="43"/>
        <v>0.0111264148518876-0.0168141988133131i</v>
      </c>
      <c r="AN193" s="11" t="str">
        <f t="shared" si="47"/>
        <v>-0.0709231700500156+0.10760324998075i</v>
      </c>
      <c r="AO193" s="11">
        <f t="shared" si="48"/>
        <v>0.12887418460018749</v>
      </c>
      <c r="AP193" s="11">
        <f t="shared" si="49"/>
        <v>2.1535542611790994</v>
      </c>
      <c r="AQ193" s="11">
        <f t="shared" si="50"/>
        <v>123.38957011797658</v>
      </c>
      <c r="AR193" s="11">
        <f t="shared" si="51"/>
        <v>-17.79668139048426</v>
      </c>
      <c r="AS193" s="11">
        <f t="shared" si="52"/>
        <v>-42.170496010686229</v>
      </c>
      <c r="AT193" s="11">
        <f t="shared" si="53"/>
        <v>238.19401550295598</v>
      </c>
    </row>
    <row r="194" spans="25:46" x14ac:dyDescent="0.25">
      <c r="Y194" s="11">
        <v>192</v>
      </c>
      <c r="Z194" s="11">
        <f t="shared" si="44"/>
        <v>575439.93733715592</v>
      </c>
      <c r="AA194" s="11" t="str">
        <f t="shared" si="45"/>
        <v>3615595.75944116i</v>
      </c>
      <c r="AB194" s="11">
        <f>$T$6/'5. Current Sense Resistor'!$B$11</f>
        <v>100</v>
      </c>
      <c r="AD194" s="11" t="str">
        <f t="shared" ref="AD194:AD202" si="58">IMDIV(IMSUM(1,IMDIV(AA194,$W$3)),IMSUM(1,IMDIV(AA194,$W$5)))</f>
        <v>0.00410606089705688-0.000113098605091408i</v>
      </c>
      <c r="AE194" s="11" t="str">
        <f t="shared" ref="AE194:AE202" si="59">IMDIV(IMSUM(1,IMDIV(IMPRODUCT(-1,AA194),$W$4)),IMSUM(1,IMDIV(AA194,$W$1*$W$2),IMDIV(IMPOWER(AA194,2),$W$1^2)))</f>
        <v>-0.388326369351079+0.838625314846996i</v>
      </c>
      <c r="AF194" s="11" t="str">
        <f t="shared" si="46"/>
        <v>-0.0224814411306393+0.0522797339643513i</v>
      </c>
      <c r="AG194" s="11">
        <f t="shared" si="54"/>
        <v>5.6908573859250314E-2</v>
      </c>
      <c r="AH194" s="11">
        <f t="shared" si="55"/>
        <v>1.9769130386480085</v>
      </c>
      <c r="AI194" s="11">
        <f t="shared" si="56"/>
        <v>113.26877357891388</v>
      </c>
      <c r="AJ194" s="11">
        <f t="shared" si="57"/>
        <v>-24.896445955315013</v>
      </c>
      <c r="AL194" s="11" t="str">
        <f t="shared" ref="AL194:AL202" si="60">IMDIV(IMSUM(1,IMDIV(AA194,wz1e)),IMSUM(1,IMDIV(AA194,wp1e)))</f>
        <v>0.0154333369993809-0.0000261754050987048i</v>
      </c>
      <c r="AM194" s="11" t="str">
        <f t="shared" ref="AM194:AM202" si="61">IMDIV(IMSUM(1,IMDIV(AA194,wz2e)),IMSUM(1,IMDIV(AA194,wp2e)))</f>
        <v>0.0110895328481993-0.0156925086184168i</v>
      </c>
      <c r="AN194" s="11" t="str">
        <f t="shared" si="47"/>
        <v>-0.0707126214566296+0.100424536233415i</v>
      </c>
      <c r="AO194" s="11">
        <f t="shared" si="48"/>
        <v>0.12282248292134904</v>
      </c>
      <c r="AP194" s="11">
        <f t="shared" si="49"/>
        <v>2.184293340330095</v>
      </c>
      <c r="AQ194" s="11">
        <f t="shared" si="50"/>
        <v>125.15078961944721</v>
      </c>
      <c r="AR194" s="11">
        <f t="shared" si="51"/>
        <v>-18.214442547456528</v>
      </c>
      <c r="AS194" s="11">
        <f t="shared" si="52"/>
        <v>-43.110888502771544</v>
      </c>
      <c r="AT194" s="11">
        <f t="shared" si="53"/>
        <v>238.41956319836109</v>
      </c>
    </row>
    <row r="195" spans="25:46" x14ac:dyDescent="0.25">
      <c r="Y195" s="11">
        <v>193</v>
      </c>
      <c r="Z195" s="11">
        <f t="shared" ref="Z195:Z202" si="62">10^(LOG($F$3/$F$2,10)*Y195/200)</f>
        <v>616595.00186148204</v>
      </c>
      <c r="AA195" s="11" t="str">
        <f t="shared" ref="AA195:AA202" si="63">IMPRODUCT(COMPLEX(0,1),2*PI()*Z195)</f>
        <v>3874180.65617643i</v>
      </c>
      <c r="AB195" s="11">
        <f>$T$6/'5. Current Sense Resistor'!$B$11</f>
        <v>100</v>
      </c>
      <c r="AD195" s="11" t="str">
        <f t="shared" si="58"/>
        <v>0.00410605923970901-0.000105549759791351i</v>
      </c>
      <c r="AE195" s="11" t="str">
        <f t="shared" si="59"/>
        <v>-0.343697166743946+0.798530737178355i</v>
      </c>
      <c r="AF195" s="11" t="str">
        <f t="shared" ref="AF195:AF202" si="64">IMPRODUCT(AB195,AC$2,AD195,AE195)</f>
        <v>-0.019892641441345+0.0496971413620384i</v>
      </c>
      <c r="AG195" s="11">
        <f t="shared" si="54"/>
        <v>5.3530580447743552E-2</v>
      </c>
      <c r="AH195" s="11">
        <f t="shared" si="55"/>
        <v>1.9515418000487366</v>
      </c>
      <c r="AI195" s="11">
        <f t="shared" si="56"/>
        <v>111.81510868615621</v>
      </c>
      <c r="AJ195" s="11">
        <f t="shared" si="57"/>
        <v>-25.427960948178431</v>
      </c>
      <c r="AL195" s="11" t="str">
        <f t="shared" si="60"/>
        <v>0.0154333369095855-0.0000244283093856976i</v>
      </c>
      <c r="AM195" s="11" t="str">
        <f t="shared" si="61"/>
        <v>0.0110574077242128-0.0146455769099843i</v>
      </c>
      <c r="AN195" s="11" t="str">
        <f t="shared" ref="AN195:AN202" si="65">IMPRODUCT($AK$2,AL195,AM195)</f>
        <v>-0.0705292285035511+0.0937243457213423i</v>
      </c>
      <c r="AO195" s="11">
        <f t="shared" ref="AO195:AO202" si="66">IMABS(AN195)</f>
        <v>0.11729716558467992</v>
      </c>
      <c r="AP195" s="11">
        <f t="shared" ref="AP195:AP202" si="67">IMARGUMENT(AN195)</f>
        <v>2.2159068133645801</v>
      </c>
      <c r="AQ195" s="11">
        <f t="shared" ref="AQ195:AQ202" si="68">AP195/(PI())*180</f>
        <v>126.96210820007384</v>
      </c>
      <c r="AR195" s="11">
        <f t="shared" ref="AR195:AR202" si="69">20*LOG(AO195,10)</f>
        <v>-18.614249644442296</v>
      </c>
      <c r="AS195" s="11">
        <f t="shared" ref="AS195:AS202" si="70">AR195+AJ195</f>
        <v>-44.042210592620727</v>
      </c>
      <c r="AT195" s="11">
        <f t="shared" ref="AT195:AT202" si="71">AQ195+AI195</f>
        <v>238.77721688623006</v>
      </c>
    </row>
    <row r="196" spans="25:46" x14ac:dyDescent="0.25">
      <c r="Y196" s="11">
        <v>194</v>
      </c>
      <c r="Z196" s="11">
        <f t="shared" si="62"/>
        <v>660693.44800759444</v>
      </c>
      <c r="AA196" s="11" t="str">
        <f t="shared" si="63"/>
        <v>4151259.36507114i</v>
      </c>
      <c r="AB196" s="11">
        <f>$T$6/'5. Current Sense Resistor'!$B$11</f>
        <v>100</v>
      </c>
      <c r="AD196" s="11" t="str">
        <f t="shared" si="58"/>
        <v>0.00410605779621934-0.0000985047674161445i</v>
      </c>
      <c r="AE196" s="11" t="str">
        <f t="shared" si="59"/>
        <v>-0.303627092585585+0.75852449160348i</v>
      </c>
      <c r="AF196" s="11" t="str">
        <f t="shared" si="64"/>
        <v>-0.0175695466530011+0.0471390829053252i</v>
      </c>
      <c r="AG196" s="11">
        <f t="shared" si="54"/>
        <v>5.0306879318310974E-2</v>
      </c>
      <c r="AH196" s="11">
        <f t="shared" si="55"/>
        <v>1.9275641313758707</v>
      </c>
      <c r="AI196" s="11">
        <f t="shared" si="56"/>
        <v>110.44128946863793</v>
      </c>
      <c r="AJ196" s="11">
        <f t="shared" si="57"/>
        <v>-25.967452447709995</v>
      </c>
      <c r="AL196" s="11" t="str">
        <f t="shared" si="60"/>
        <v>0.015433336831377-0.0000227978247972128i</v>
      </c>
      <c r="AM196" s="11" t="str">
        <f t="shared" si="61"/>
        <v>0.011029426210266-0.0136684343677806i</v>
      </c>
      <c r="AN196" s="11" t="str">
        <f t="shared" si="65"/>
        <v>-0.0703694902123273+0.0874708560084259i</v>
      </c>
      <c r="AO196" s="11">
        <f t="shared" si="66"/>
        <v>0.11226315425637036</v>
      </c>
      <c r="AP196" s="11">
        <f t="shared" si="67"/>
        <v>2.24826950893336</v>
      </c>
      <c r="AQ196" s="11">
        <f t="shared" si="68"/>
        <v>128.81635406983168</v>
      </c>
      <c r="AR196" s="11">
        <f t="shared" si="69"/>
        <v>-18.99525519157131</v>
      </c>
      <c r="AS196" s="11">
        <f t="shared" si="70"/>
        <v>-44.962707639281305</v>
      </c>
      <c r="AT196" s="11">
        <f t="shared" si="71"/>
        <v>239.25764353846961</v>
      </c>
    </row>
    <row r="197" spans="25:46" x14ac:dyDescent="0.25">
      <c r="Y197" s="11">
        <v>195</v>
      </c>
      <c r="Z197" s="11">
        <f t="shared" si="62"/>
        <v>707945.78438413737</v>
      </c>
      <c r="AA197" s="11" t="str">
        <f t="shared" si="63"/>
        <v>4448154.55072214i</v>
      </c>
      <c r="AB197" s="11">
        <f>$T$6/'5. Current Sense Resistor'!$B$11</f>
        <v>100</v>
      </c>
      <c r="AD197" s="11" t="str">
        <f t="shared" si="58"/>
        <v>0.00410605653899241-0.0000919299979561776i</v>
      </c>
      <c r="AE197" s="11" t="str">
        <f t="shared" si="59"/>
        <v>-0.267779133701503+0.718984216753935i</v>
      </c>
      <c r="AF197" s="11" t="str">
        <f t="shared" si="64"/>
        <v>-0.0154921876289146+0.0446258511970266i</v>
      </c>
      <c r="AG197" s="11">
        <f t="shared" si="54"/>
        <v>4.7238485079314885E-2</v>
      </c>
      <c r="AH197" s="11">
        <f t="shared" si="55"/>
        <v>1.9049363851098273</v>
      </c>
      <c r="AI197" s="11">
        <f t="shared" si="56"/>
        <v>109.14481510770075</v>
      </c>
      <c r="AJ197" s="11">
        <f t="shared" si="57"/>
        <v>-26.514080769961144</v>
      </c>
      <c r="AL197" s="11" t="str">
        <f t="shared" si="60"/>
        <v>0.0154333367632602-0.0000212761680422871i</v>
      </c>
      <c r="AM197" s="11" t="str">
        <f t="shared" si="61"/>
        <v>0.0110050540402553-0.0127564395205726i</v>
      </c>
      <c r="AN197" s="11" t="str">
        <f t="shared" si="65"/>
        <v>-0.0702303566130348+0.0816343467993887i</v>
      </c>
      <c r="AO197" s="11">
        <f t="shared" si="66"/>
        <v>0.10768690527337531</v>
      </c>
      <c r="AP197" s="11">
        <f t="shared" si="67"/>
        <v>2.2812420715666093</v>
      </c>
      <c r="AQ197" s="11">
        <f t="shared" si="68"/>
        <v>130.70554274844761</v>
      </c>
      <c r="AR197" s="11">
        <f t="shared" si="69"/>
        <v>-19.356742073923137</v>
      </c>
      <c r="AS197" s="11">
        <f t="shared" si="70"/>
        <v>-45.870822843884284</v>
      </c>
      <c r="AT197" s="11">
        <f t="shared" si="71"/>
        <v>239.85035785614838</v>
      </c>
    </row>
    <row r="198" spans="25:46" x14ac:dyDescent="0.25">
      <c r="Y198" s="11">
        <v>196</v>
      </c>
      <c r="Z198" s="11">
        <f t="shared" si="62"/>
        <v>758577.57502918295</v>
      </c>
      <c r="AA198" s="11" t="str">
        <f t="shared" si="63"/>
        <v>4766283.47377928i</v>
      </c>
      <c r="AB198" s="11">
        <f>$T$6/'5. Current Sense Resistor'!$B$11</f>
        <v>100</v>
      </c>
      <c r="AD198" s="11" t="str">
        <f t="shared" si="58"/>
        <v>0.00410605544399355-0.0000857940660591937i</v>
      </c>
      <c r="AE198" s="11" t="str">
        <f t="shared" si="59"/>
        <v>-0.235810761551965+0.680215989129351i</v>
      </c>
      <c r="AF198" s="11" t="str">
        <f t="shared" si="64"/>
        <v>-0.0136403797329683+0.0421737278644369i</v>
      </c>
      <c r="AG198" s="11">
        <f t="shared" si="54"/>
        <v>4.4324747954648927E-2</v>
      </c>
      <c r="AH198" s="11">
        <f t="shared" si="55"/>
        <v>1.8836103704163485</v>
      </c>
      <c r="AI198" s="11">
        <f t="shared" si="56"/>
        <v>107.92292447193043</v>
      </c>
      <c r="AJ198" s="11">
        <f t="shared" si="57"/>
        <v>-27.067074505275855</v>
      </c>
      <c r="AL198" s="11" t="str">
        <f t="shared" si="60"/>
        <v>0.015433336703933-0.0000198560753311404i</v>
      </c>
      <c r="AM198" s="11" t="str">
        <f t="shared" si="61"/>
        <v>0.0109838257887998-0.0119052575799796i</v>
      </c>
      <c r="AN198" s="11" t="str">
        <f t="shared" si="65"/>
        <v>-0.0701091707275461+0.0761870637195964i</v>
      </c>
      <c r="AO198" s="11">
        <f t="shared" si="66"/>
        <v>0.10353629556014668</v>
      </c>
      <c r="AP198" s="11">
        <f t="shared" si="67"/>
        <v>2.314673258799401</v>
      </c>
      <c r="AQ198" s="11">
        <f t="shared" si="68"/>
        <v>132.62100868099822</v>
      </c>
      <c r="AR198" s="11">
        <f t="shared" si="69"/>
        <v>-19.698147555205246</v>
      </c>
      <c r="AS198" s="11">
        <f t="shared" si="70"/>
        <v>-46.765222060481101</v>
      </c>
      <c r="AT198" s="11">
        <f t="shared" si="71"/>
        <v>240.54393315292864</v>
      </c>
    </row>
    <row r="199" spans="25:46" x14ac:dyDescent="0.25">
      <c r="Y199" s="11">
        <v>197</v>
      </c>
      <c r="Z199" s="11">
        <f t="shared" si="62"/>
        <v>812830.51616409956</v>
      </c>
      <c r="AA199" s="11" t="str">
        <f t="shared" si="63"/>
        <v>5107164.75638947i</v>
      </c>
      <c r="AB199" s="11">
        <f>$T$6/'5. Current Sense Resistor'!$B$11</f>
        <v>100</v>
      </c>
      <c r="AD199" s="11" t="str">
        <f t="shared" si="58"/>
        <v>0.00410605449028935-0.0000800676812092786i</v>
      </c>
      <c r="AE199" s="11" t="str">
        <f t="shared" si="59"/>
        <v>-0.207383040565741+0.642461727919264i</v>
      </c>
      <c r="AF199" s="11" t="str">
        <f t="shared" si="64"/>
        <v>-0.0119942292326089+0.0397954040679162i</v>
      </c>
      <c r="AG199" s="11">
        <f t="shared" si="54"/>
        <v>4.1563634583769153E-2</v>
      </c>
      <c r="AH199" s="11">
        <f t="shared" si="55"/>
        <v>1.8635345979987028</v>
      </c>
      <c r="AI199" s="11">
        <f t="shared" si="56"/>
        <v>106.77266744193419</v>
      </c>
      <c r="AJ199" s="11">
        <f t="shared" si="57"/>
        <v>-27.625729640652889</v>
      </c>
      <c r="AL199" s="11" t="str">
        <f t="shared" si="60"/>
        <v>0.0154333366522611-0.0000185307677007083i</v>
      </c>
      <c r="AM199" s="11" t="str">
        <f t="shared" si="61"/>
        <v>0.0109653360121843-0.0111108405532324i</v>
      </c>
      <c r="AN199" s="11" t="str">
        <f t="shared" si="65"/>
        <v>-0.0700036179957036+0.0711030904230719i</v>
      </c>
      <c r="AO199" s="11">
        <f t="shared" si="66"/>
        <v>9.9780539185754732E-2</v>
      </c>
      <c r="AP199" s="11">
        <f t="shared" si="67"/>
        <v>2.3484028678792077</v>
      </c>
      <c r="AQ199" s="11">
        <f t="shared" si="68"/>
        <v>134.55357292589727</v>
      </c>
      <c r="AR199" s="11">
        <f t="shared" si="69"/>
        <v>-20.019083071724012</v>
      </c>
      <c r="AS199" s="11">
        <f t="shared" si="70"/>
        <v>-47.644812712376904</v>
      </c>
      <c r="AT199" s="11">
        <f t="shared" si="71"/>
        <v>241.32624036783147</v>
      </c>
    </row>
    <row r="200" spans="25:46" x14ac:dyDescent="0.25">
      <c r="Y200" s="11">
        <v>198</v>
      </c>
      <c r="Z200" s="11">
        <f t="shared" si="62"/>
        <v>870963.58995607914</v>
      </c>
      <c r="AA200" s="11" t="str">
        <f t="shared" si="63"/>
        <v>5472425.63150042i</v>
      </c>
      <c r="AB200" s="11">
        <f>$T$6/'5. Current Sense Resistor'!$B$11</f>
        <v>100</v>
      </c>
      <c r="AD200" s="11" t="str">
        <f t="shared" si="58"/>
        <v>0.00410605365964777-0.0000747235079057267i</v>
      </c>
      <c r="AE200" s="11" t="str">
        <f t="shared" si="59"/>
        <v>-0.182167499477471+0.605906919766072i</v>
      </c>
      <c r="AF200" s="11" t="str">
        <f t="shared" si="64"/>
        <v>-0.0105345137880197+0.037500418728641i</v>
      </c>
      <c r="AG200" s="11">
        <f t="shared" si="54"/>
        <v>3.8951988210788234E-2</v>
      </c>
      <c r="AH200" s="11">
        <f t="shared" si="55"/>
        <v>1.844655375134518</v>
      </c>
      <c r="AI200" s="11">
        <f t="shared" si="56"/>
        <v>105.69096765132952</v>
      </c>
      <c r="AJ200" s="11">
        <f t="shared" si="57"/>
        <v>-28.189407398114874</v>
      </c>
      <c r="AL200" s="11" t="str">
        <f t="shared" si="60"/>
        <v>0.0154333366072569-0.0000172939186545465i</v>
      </c>
      <c r="AM200" s="11" t="str">
        <f t="shared" si="61"/>
        <v>0.0109492315266753-0.0103694085744616i</v>
      </c>
      <c r="AN200" s="11" t="str">
        <f t="shared" si="65"/>
        <v>-0.0699116821944412+0.0663582286154396i</v>
      </c>
      <c r="AO200" s="11">
        <f t="shared" si="66"/>
        <v>9.639013337596071E-2</v>
      </c>
      <c r="AP200" s="11">
        <f t="shared" si="67"/>
        <v>2.3822651645685804</v>
      </c>
      <c r="AQ200" s="11">
        <f t="shared" si="68"/>
        <v>136.49373961081815</v>
      </c>
      <c r="AR200" s="11">
        <f t="shared" si="69"/>
        <v>-20.319348375818489</v>
      </c>
      <c r="AS200" s="11">
        <f t="shared" si="70"/>
        <v>-48.508755773933359</v>
      </c>
      <c r="AT200" s="11">
        <f t="shared" si="71"/>
        <v>242.18470726214767</v>
      </c>
    </row>
    <row r="201" spans="25:46" x14ac:dyDescent="0.25">
      <c r="Y201" s="11">
        <v>199</v>
      </c>
      <c r="Z201" s="11">
        <f t="shared" si="62"/>
        <v>933254.30079698924</v>
      </c>
      <c r="AA201" s="11" t="str">
        <f t="shared" si="63"/>
        <v>5863809.7106298i</v>
      </c>
      <c r="AB201" s="11">
        <f>$T$6/'5. Current Sense Resistor'!$B$11</f>
        <v>100</v>
      </c>
      <c r="AD201" s="11" t="str">
        <f t="shared" si="58"/>
        <v>0.00410605293618916-0.0000697360351743162i</v>
      </c>
      <c r="AE201" s="11" t="str">
        <f t="shared" si="59"/>
        <v>-0.159851057422788+0.570688256235033i</v>
      </c>
      <c r="AF201" s="11" t="str">
        <f t="shared" si="64"/>
        <v>-0.00924295347914276+0.0352955914242817i</v>
      </c>
      <c r="AG201" s="11">
        <f t="shared" si="54"/>
        <v>3.6485763840262753E-2</v>
      </c>
      <c r="AH201" s="11">
        <f t="shared" si="55"/>
        <v>1.8269177491794879</v>
      </c>
      <c r="AI201" s="11">
        <f t="shared" si="56"/>
        <v>104.67467654552458</v>
      </c>
      <c r="AJ201" s="11">
        <f t="shared" si="57"/>
        <v>-28.757531144652916</v>
      </c>
      <c r="AL201" s="11" t="str">
        <f t="shared" si="60"/>
        <v>0.0154333365680598-0.0000161396239626314i</v>
      </c>
      <c r="AM201" s="11" t="str">
        <f t="shared" si="61"/>
        <v>0.0109352046788415-0.0096774323935076i</v>
      </c>
      <c r="AN201" s="11" t="str">
        <f t="shared" si="65"/>
        <v>-0.0698316070199755+0.0619298855795003i</v>
      </c>
      <c r="AO201" s="11">
        <f t="shared" si="66"/>
        <v>9.3336831245132215E-2</v>
      </c>
      <c r="AP201" s="11">
        <f t="shared" si="67"/>
        <v>2.4160926373912108</v>
      </c>
      <c r="AQ201" s="11">
        <f t="shared" si="68"/>
        <v>138.43191103514837</v>
      </c>
      <c r="AR201" s="11">
        <f t="shared" si="69"/>
        <v>-20.598938947121738</v>
      </c>
      <c r="AS201" s="11">
        <f t="shared" si="70"/>
        <v>-49.356470091774653</v>
      </c>
      <c r="AT201" s="11">
        <f t="shared" si="71"/>
        <v>243.10658758067297</v>
      </c>
    </row>
    <row r="202" spans="25:46" x14ac:dyDescent="0.25">
      <c r="Y202" s="11">
        <v>200</v>
      </c>
      <c r="Z202" s="11">
        <f t="shared" si="62"/>
        <v>999999.99999999953</v>
      </c>
      <c r="AA202" s="11" t="str">
        <f t="shared" si="63"/>
        <v>6283185.30717958i</v>
      </c>
      <c r="AB202" s="11">
        <f>$T$6/'5. Current Sense Resistor'!$B$11</f>
        <v>100</v>
      </c>
      <c r="AD202" s="11" t="str">
        <f t="shared" si="58"/>
        <v>0.00410605230608306-0.0000650814547881381i</v>
      </c>
      <c r="AE202" s="11" t="str">
        <f t="shared" si="59"/>
        <v>-0.140139317178391+0.536900899274564i</v>
      </c>
      <c r="AF202" s="11" t="str">
        <f t="shared" si="64"/>
        <v>-0.00810239001129949+0.0331854338501494i</v>
      </c>
      <c r="AG202" s="11">
        <f t="shared" si="54"/>
        <v>3.416023629481868E-2</v>
      </c>
      <c r="AH202" s="11">
        <f t="shared" si="55"/>
        <v>1.8102663046674454</v>
      </c>
      <c r="AI202" s="11">
        <f t="shared" si="56"/>
        <v>103.72061905218827</v>
      </c>
      <c r="AJ202" s="11">
        <f t="shared" si="57"/>
        <v>-29.329582677002026</v>
      </c>
      <c r="AL202" s="11" t="str">
        <f t="shared" si="60"/>
        <v>0.0154333365339206-0.0000150623734768942i</v>
      </c>
      <c r="AM202" s="11" t="str">
        <f t="shared" si="61"/>
        <v>0.0109229874809269-0.00903161696152928i</v>
      </c>
      <c r="AN202" s="11" t="str">
        <f t="shared" si="65"/>
        <v>-0.0697618626083436+0.057796968797066i</v>
      </c>
      <c r="AO202" s="11">
        <f t="shared" si="66"/>
        <v>9.0593637065273125E-2</v>
      </c>
      <c r="AP202" s="11">
        <f t="shared" si="67"/>
        <v>2.4497198674090934</v>
      </c>
      <c r="AQ202" s="11">
        <f t="shared" si="68"/>
        <v>140.35860939188868</v>
      </c>
      <c r="AR202" s="11">
        <f t="shared" si="69"/>
        <v>-20.858046087188452</v>
      </c>
      <c r="AS202" s="11">
        <f t="shared" si="70"/>
        <v>-50.187628764190478</v>
      </c>
      <c r="AT202" s="11">
        <f t="shared" si="71"/>
        <v>244.07922844407693</v>
      </c>
    </row>
  </sheetData>
  <sheetProtection algorithmName="SHA-512" hashValue="4cLjkY+cokeM6J8Z/9CLr8DZAmzmL8YTsZsG7amMdrZjyYlTrjaOSkvwCtwDYzO4zW5AvMaRA1x1OnNEkeZxrA==" saltValue="PBUamthiwFZFwj5KNcCzFg==" spinCount="100000" sheet="1" objects="1" scenarios="1" selectLockedCells="1"/>
  <customSheetViews>
    <customSheetView guid="{25ED444C-8CCE-464F-9E26-1EDA12EA830D}" scale="85">
      <selection activeCell="E7" sqref="E7"/>
      <pageMargins left="0.7" right="0.7" top="0.75" bottom="0.75" header="0.3" footer="0.3"/>
      <pageSetup orientation="portrait" r:id="rId1"/>
    </customSheetView>
  </customSheetViews>
  <conditionalFormatting sqref="E4">
    <cfRule type="notContainsBlanks" dxfId="0" priority="1">
      <formula>LEN(TRIM(E4))&gt;0</formula>
    </cfRule>
  </conditionalFormatting>
  <pageMargins left="0.7" right="0.7" top="0.75" bottom="0.7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>
      <selection activeCell="F35" sqref="F35"/>
    </sheetView>
  </sheetViews>
  <sheetFormatPr defaultRowHeight="15" x14ac:dyDescent="0.25"/>
  <sheetData/>
  <customSheetViews>
    <customSheetView guid="{25ED444C-8CCE-464F-9E26-1EDA12EA830D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3"/>
  <sheetViews>
    <sheetView topLeftCell="A4" workbookViewId="0">
      <selection activeCell="J45" sqref="J45"/>
    </sheetView>
  </sheetViews>
  <sheetFormatPr defaultRowHeight="15" x14ac:dyDescent="0.25"/>
  <sheetData>
    <row r="1" spans="1:4" hidden="1" x14ac:dyDescent="0.25">
      <c r="B1" t="s">
        <v>32</v>
      </c>
      <c r="C1" t="s">
        <v>65</v>
      </c>
      <c r="D1" t="s">
        <v>34</v>
      </c>
    </row>
    <row r="2" spans="1:4" hidden="1" x14ac:dyDescent="0.25">
      <c r="A2" t="s">
        <v>64</v>
      </c>
      <c r="B2">
        <f>1-Vin_max/Vout</f>
        <v>9.9999999999999978E-2</v>
      </c>
      <c r="C2">
        <f>1-Vin_nominal/Vout</f>
        <v>0.6</v>
      </c>
      <c r="D2">
        <f>1-Vin_min/Vout</f>
        <v>0.6</v>
      </c>
    </row>
    <row r="3" spans="1:4" hidden="1" x14ac:dyDescent="0.25">
      <c r="A3" t="s">
        <v>9</v>
      </c>
      <c r="C3">
        <f>1/('2. Design Parameters'!C6*1000)</f>
        <v>5.8823529411764709E-6</v>
      </c>
    </row>
  </sheetData>
  <sheetProtection password="F725" sheet="1" objects="1" scenarios="1"/>
  <customSheetViews>
    <customSheetView guid="{25ED444C-8CCE-464F-9E26-1EDA12EA830D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10"/>
  <sheetViews>
    <sheetView workbookViewId="0">
      <selection activeCell="B3" sqref="B3"/>
    </sheetView>
  </sheetViews>
  <sheetFormatPr defaultRowHeight="15" x14ac:dyDescent="0.25"/>
  <cols>
    <col min="1" max="1" width="20.5703125" customWidth="1"/>
    <col min="2" max="2" width="13" customWidth="1"/>
    <col min="6" max="6" width="39" customWidth="1"/>
  </cols>
  <sheetData>
    <row r="1" spans="1:6" x14ac:dyDescent="0.25">
      <c r="A1" t="s">
        <v>31</v>
      </c>
    </row>
    <row r="2" spans="1:6" x14ac:dyDescent="0.25">
      <c r="B2" t="s">
        <v>32</v>
      </c>
      <c r="C2" t="s">
        <v>33</v>
      </c>
      <c r="D2" t="s">
        <v>34</v>
      </c>
      <c r="E2" t="s">
        <v>36</v>
      </c>
    </row>
    <row r="3" spans="1:6" x14ac:dyDescent="0.25">
      <c r="A3" t="s">
        <v>0</v>
      </c>
      <c r="B3" s="2">
        <v>4</v>
      </c>
      <c r="C3" s="2">
        <v>4</v>
      </c>
      <c r="D3" s="2">
        <v>9</v>
      </c>
      <c r="E3" t="s">
        <v>37</v>
      </c>
    </row>
    <row r="4" spans="1:6" x14ac:dyDescent="0.25">
      <c r="A4" t="s">
        <v>1</v>
      </c>
      <c r="C4" s="2">
        <v>10</v>
      </c>
      <c r="E4" t="s">
        <v>37</v>
      </c>
      <c r="F4" s="9"/>
    </row>
    <row r="5" spans="1:6" x14ac:dyDescent="0.25">
      <c r="A5" t="s">
        <v>2</v>
      </c>
      <c r="D5" s="2">
        <v>2</v>
      </c>
      <c r="E5" t="s">
        <v>38</v>
      </c>
    </row>
    <row r="6" spans="1:6" x14ac:dyDescent="0.25">
      <c r="A6" t="s">
        <v>8</v>
      </c>
      <c r="B6" s="2">
        <v>153</v>
      </c>
      <c r="C6" s="2">
        <v>170</v>
      </c>
      <c r="D6" s="2">
        <v>187</v>
      </c>
      <c r="E6" t="s">
        <v>46</v>
      </c>
    </row>
    <row r="7" spans="1:6" x14ac:dyDescent="0.25">
      <c r="A7" t="s">
        <v>6</v>
      </c>
      <c r="B7" s="2"/>
      <c r="C7" s="2">
        <v>51</v>
      </c>
      <c r="D7" s="2"/>
      <c r="E7" t="s">
        <v>132</v>
      </c>
    </row>
    <row r="8" spans="1:6" x14ac:dyDescent="0.25">
      <c r="A8" t="s">
        <v>35</v>
      </c>
      <c r="B8" s="2">
        <v>86</v>
      </c>
      <c r="C8" s="3">
        <v>88</v>
      </c>
      <c r="D8" s="2"/>
      <c r="E8" t="s">
        <v>39</v>
      </c>
      <c r="F8" s="9" t="str">
        <f>IF(Dconv_max*100&gt;Dmax_min,"Required Dmax is higher than device Dmax","")</f>
        <v/>
      </c>
    </row>
    <row r="9" spans="1:6" x14ac:dyDescent="0.25">
      <c r="A9" t="s">
        <v>40</v>
      </c>
      <c r="B9" s="2"/>
      <c r="C9" s="3">
        <v>10.5</v>
      </c>
      <c r="D9" s="2"/>
      <c r="E9" t="s">
        <v>37</v>
      </c>
    </row>
    <row r="10" spans="1:6" x14ac:dyDescent="0.25">
      <c r="A10" t="s">
        <v>44</v>
      </c>
      <c r="B10" s="2">
        <v>360</v>
      </c>
      <c r="C10" s="3">
        <v>400</v>
      </c>
      <c r="D10" s="2">
        <v>440</v>
      </c>
      <c r="E10" t="s">
        <v>45</v>
      </c>
    </row>
  </sheetData>
  <sheetProtection password="F725" sheet="1" objects="1" scenarios="1" selectLockedCells="1"/>
  <customSheetViews>
    <customSheetView guid="{25ED444C-8CCE-464F-9E26-1EDA12EA830D}">
      <selection activeCell="G32" sqref="G32"/>
      <pageMargins left="0.7" right="0.7" top="0.75" bottom="0.75" header="0.3" footer="0.3"/>
    </customSheetView>
  </customSheetViews>
  <conditionalFormatting sqref="F4 F8">
    <cfRule type="notContainsBlanks" dxfId="1" priority="3">
      <formula>LEN(TRIM(F4))&gt;0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10"/>
  <sheetViews>
    <sheetView zoomScale="190" zoomScaleNormal="190" workbookViewId="0">
      <selection activeCell="B9" sqref="B9"/>
    </sheetView>
  </sheetViews>
  <sheetFormatPr defaultRowHeight="15" x14ac:dyDescent="0.25"/>
  <cols>
    <col min="1" max="1" width="17" customWidth="1"/>
    <col min="3" max="3" width="9.7109375" customWidth="1"/>
    <col min="4" max="6" width="9.140625" hidden="1" customWidth="1"/>
  </cols>
  <sheetData>
    <row r="1" spans="1:6" x14ac:dyDescent="0.25">
      <c r="A1" t="s">
        <v>41</v>
      </c>
      <c r="F1" s="9">
        <v>1</v>
      </c>
    </row>
    <row r="7" spans="1:6" x14ac:dyDescent="0.25">
      <c r="A7" t="str">
        <f>IF(F1=1,"Rupper","Rlower")</f>
        <v>Rupper</v>
      </c>
      <c r="B7" s="2">
        <v>10000</v>
      </c>
      <c r="C7" s="1" t="s">
        <v>43</v>
      </c>
      <c r="D7" s="9">
        <f>IF(F1=1,B7,B9)</f>
        <v>10000</v>
      </c>
    </row>
    <row r="8" spans="1:6" x14ac:dyDescent="0.25">
      <c r="A8" t="str">
        <f>IF(F1=1,"Suggested Rlower","Suggested Rupper")</f>
        <v>Suggested Rlower</v>
      </c>
      <c r="B8" s="4">
        <f>IF(F1=1,B7/(Vout/1.2-1),B7*(Vout/1.2-1))</f>
        <v>1363.6363636363635</v>
      </c>
      <c r="C8" s="1" t="s">
        <v>43</v>
      </c>
      <c r="D8" s="9">
        <f>IF(F1=1,B9,B7)</f>
        <v>1300</v>
      </c>
    </row>
    <row r="9" spans="1:6" x14ac:dyDescent="0.25">
      <c r="A9" t="str">
        <f>IF(F1=1,"Rlower used","Rupper used")</f>
        <v>Rlower used</v>
      </c>
      <c r="B9" s="2">
        <v>1300</v>
      </c>
      <c r="C9" s="1" t="s">
        <v>43</v>
      </c>
    </row>
    <row r="10" spans="1:6" x14ac:dyDescent="0.25">
      <c r="A10" t="s">
        <v>42</v>
      </c>
      <c r="B10" s="4">
        <f>IF(F1=1,1.2*(B7+B9)/B9,1.2*(B7+B9)/B7)</f>
        <v>10.430769230769231</v>
      </c>
      <c r="C10" s="5" t="s">
        <v>37</v>
      </c>
    </row>
  </sheetData>
  <sheetProtection password="F725" sheet="1" objects="1" scenarios="1" selectLockedCells="1"/>
  <customSheetViews>
    <customSheetView guid="{25ED444C-8CCE-464F-9E26-1EDA12EA830D}" scale="190">
      <selection activeCell="A4" sqref="A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5" name="Option Button 7">
              <controlPr defaultSize="0" autoFill="0" autoLine="0" autoPict="0">
                <anchor moveWithCells="1">
                  <from>
                    <xdr:col>2</xdr:col>
                    <xdr:colOff>0</xdr:colOff>
                    <xdr:row>1</xdr:row>
                    <xdr:rowOff>95250</xdr:rowOff>
                  </from>
                  <to>
                    <xdr:col>7</xdr:col>
                    <xdr:colOff>47625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6" name="Option Button 8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9525</xdr:rowOff>
                  </from>
                  <to>
                    <xdr:col>7</xdr:col>
                    <xdr:colOff>47625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E11"/>
  <sheetViews>
    <sheetView workbookViewId="0">
      <selection activeCell="B4" sqref="B4"/>
    </sheetView>
  </sheetViews>
  <sheetFormatPr defaultRowHeight="15" x14ac:dyDescent="0.25"/>
  <cols>
    <col min="1" max="1" width="49.28515625" customWidth="1"/>
  </cols>
  <sheetData>
    <row r="2" spans="1:5" x14ac:dyDescent="0.25">
      <c r="A2" t="s">
        <v>51</v>
      </c>
      <c r="B2" s="2">
        <v>90</v>
      </c>
      <c r="C2" t="s">
        <v>39</v>
      </c>
      <c r="D2" t="s">
        <v>56</v>
      </c>
      <c r="E2" s="4">
        <f>SQRT(B3^2+B8^2/3)</f>
        <v>5.6288893123647359</v>
      </c>
    </row>
    <row r="3" spans="1:5" x14ac:dyDescent="0.25">
      <c r="A3" t="s">
        <v>47</v>
      </c>
      <c r="B3" s="4">
        <f>Ioutmax*Vout/(Vin_min*B2/100)</f>
        <v>5.5555555555555554</v>
      </c>
      <c r="C3" t="s">
        <v>38</v>
      </c>
      <c r="D3" t="s">
        <v>57</v>
      </c>
      <c r="E3" s="4">
        <f>B8/2+B3</f>
        <v>6.3398692810457513</v>
      </c>
    </row>
    <row r="4" spans="1:5" x14ac:dyDescent="0.25">
      <c r="A4" t="s">
        <v>49</v>
      </c>
      <c r="B4" s="2">
        <v>30</v>
      </c>
      <c r="C4" t="s">
        <v>39</v>
      </c>
    </row>
    <row r="5" spans="1:5" x14ac:dyDescent="0.25">
      <c r="A5" t="s">
        <v>50</v>
      </c>
      <c r="B5" s="4">
        <f>B3*B4/100</f>
        <v>1.6666666666666665</v>
      </c>
      <c r="C5" t="s">
        <v>38</v>
      </c>
    </row>
    <row r="6" spans="1:5" x14ac:dyDescent="0.25">
      <c r="A6" t="s">
        <v>52</v>
      </c>
      <c r="B6" s="4">
        <f>B2/100*Vin_min^2*(1-Vin_min/Vout)/(B4/100*Fsw_min*1000*(Vout*Ioutmax))*1000000</f>
        <v>9.4117647058823533</v>
      </c>
      <c r="C6" s="1" t="s">
        <v>53</v>
      </c>
    </row>
    <row r="7" spans="1:5" x14ac:dyDescent="0.25">
      <c r="A7" t="s">
        <v>54</v>
      </c>
      <c r="B7" s="2">
        <v>10</v>
      </c>
      <c r="C7" s="1" t="s">
        <v>53</v>
      </c>
    </row>
    <row r="8" spans="1:5" x14ac:dyDescent="0.25">
      <c r="A8" t="s">
        <v>55</v>
      </c>
      <c r="B8" s="4">
        <f>Vin_min*(1-Vin_min/Vout)/(Fsw_min*B7/1000)</f>
        <v>1.5686274509803921</v>
      </c>
      <c r="C8" s="5" t="s">
        <v>38</v>
      </c>
      <c r="D8" t="str">
        <f>IF(B8&gt;B5,"Inductor smaller than recommended, ripple is higher than requested","")</f>
        <v/>
      </c>
    </row>
    <row r="9" spans="1:5" x14ac:dyDescent="0.25">
      <c r="C9" s="5"/>
    </row>
    <row r="11" spans="1:5" s="6" customFormat="1" hidden="1" x14ac:dyDescent="0.25">
      <c r="A11" s="6" t="s">
        <v>3</v>
      </c>
      <c r="B11" s="9">
        <f>B7/1000000</f>
        <v>1.0000000000000001E-5</v>
      </c>
    </row>
  </sheetData>
  <sheetProtection password="F725" sheet="1" objects="1" scenarios="1" selectLockedCells="1"/>
  <customSheetViews>
    <customSheetView guid="{25ED444C-8CCE-464F-9E26-1EDA12EA830D}">
      <selection activeCell="B3" sqref="B3"/>
      <pageMargins left="0.7" right="0.7" top="0.75" bottom="0.75" header="0.3" footer="0.3"/>
    </customSheetView>
  </customSheetViews>
  <conditionalFormatting sqref="D8">
    <cfRule type="notContainsBlanks" priority="1">
      <formula>LEN(TRIM(D8))&gt;0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F11"/>
  <sheetViews>
    <sheetView workbookViewId="0">
      <selection activeCell="E16" sqref="E16"/>
    </sheetView>
  </sheetViews>
  <sheetFormatPr defaultRowHeight="15" x14ac:dyDescent="0.25"/>
  <cols>
    <col min="1" max="1" width="36.5703125" customWidth="1"/>
    <col min="4" max="4" width="45.7109375" customWidth="1"/>
  </cols>
  <sheetData>
    <row r="2" spans="1:6" x14ac:dyDescent="0.25">
      <c r="A2" t="s">
        <v>58</v>
      </c>
      <c r="B2" s="4">
        <f>IPeakL</f>
        <v>6.3398692810457513</v>
      </c>
      <c r="C2" t="s">
        <v>38</v>
      </c>
    </row>
    <row r="3" spans="1:6" x14ac:dyDescent="0.25">
      <c r="A3" t="s">
        <v>59</v>
      </c>
      <c r="B3" s="2">
        <v>7</v>
      </c>
      <c r="C3" t="s">
        <v>38</v>
      </c>
    </row>
    <row r="4" spans="1:6" x14ac:dyDescent="0.25">
      <c r="A4" t="s">
        <v>60</v>
      </c>
      <c r="B4" s="4">
        <f>vcl_min/B3</f>
        <v>51.428571428571431</v>
      </c>
      <c r="C4" t="s">
        <v>62</v>
      </c>
    </row>
    <row r="5" spans="1:6" x14ac:dyDescent="0.25">
      <c r="A5" t="s">
        <v>61</v>
      </c>
      <c r="B5" s="2">
        <v>50</v>
      </c>
      <c r="C5" t="s">
        <v>62</v>
      </c>
      <c r="D5" t="s">
        <v>63</v>
      </c>
      <c r="E5" s="4">
        <f>Dconv_max*IrmsL^2*B5/1000</f>
        <v>0.95053184672561852</v>
      </c>
      <c r="F5" t="s">
        <v>68</v>
      </c>
    </row>
    <row r="6" spans="1:6" x14ac:dyDescent="0.25">
      <c r="A6" t="s">
        <v>66</v>
      </c>
      <c r="B6" s="4">
        <f>vcl_min/B5</f>
        <v>7.2</v>
      </c>
      <c r="C6" t="s">
        <v>38</v>
      </c>
    </row>
    <row r="7" spans="1:6" x14ac:dyDescent="0.25">
      <c r="A7" t="s">
        <v>67</v>
      </c>
      <c r="B7" s="4">
        <f>vcl_max/B5</f>
        <v>8.8000000000000007</v>
      </c>
      <c r="C7" t="s">
        <v>38</v>
      </c>
    </row>
    <row r="11" spans="1:6" hidden="1" x14ac:dyDescent="0.25">
      <c r="B11" s="7">
        <f>B5/1000</f>
        <v>0.05</v>
      </c>
    </row>
  </sheetData>
  <sheetProtection password="F725" sheet="1" objects="1" scenarios="1"/>
  <customSheetViews>
    <customSheetView guid="{25ED444C-8CCE-464F-9E26-1EDA12EA830D}">
      <selection activeCell="B8" sqref="B8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C15"/>
  <sheetViews>
    <sheetView workbookViewId="0">
      <selection activeCell="B2" sqref="B2"/>
    </sheetView>
  </sheetViews>
  <sheetFormatPr defaultRowHeight="15" x14ac:dyDescent="0.25"/>
  <cols>
    <col min="1" max="1" width="29" customWidth="1"/>
    <col min="2" max="2" width="9.5703125" customWidth="1"/>
  </cols>
  <sheetData>
    <row r="2" spans="1:3" x14ac:dyDescent="0.25">
      <c r="A2" t="s">
        <v>69</v>
      </c>
      <c r="B2" s="2">
        <v>1000</v>
      </c>
      <c r="C2" s="1" t="s">
        <v>84</v>
      </c>
    </row>
    <row r="3" spans="1:3" x14ac:dyDescent="0.25">
      <c r="A3" t="s">
        <v>70</v>
      </c>
      <c r="B3" s="2">
        <v>10</v>
      </c>
      <c r="C3" t="s">
        <v>62</v>
      </c>
    </row>
    <row r="4" spans="1:3" x14ac:dyDescent="0.25">
      <c r="A4" t="s">
        <v>87</v>
      </c>
      <c r="B4" s="4">
        <f>Vin_min</f>
        <v>4</v>
      </c>
      <c r="C4" t="s">
        <v>37</v>
      </c>
    </row>
    <row r="5" spans="1:3" x14ac:dyDescent="0.25">
      <c r="A5" t="s">
        <v>82</v>
      </c>
      <c r="B5" s="4">
        <f>Ioutmax*Dconv_max/(B2*Fsw_min)+B3*(Ioutmax/(1-Dconv_max)+Iripple/2)</f>
        <v>57.843145098039216</v>
      </c>
      <c r="C5" t="s">
        <v>45</v>
      </c>
    </row>
    <row r="6" spans="1:3" x14ac:dyDescent="0.25">
      <c r="A6" t="s">
        <v>83</v>
      </c>
      <c r="B6" s="4">
        <f>Ioutmax*SQRT(Dconv_max/(1-Dconv_max)+Dconv_max/12*((1-Dconv_max)/(Lo/(Rout*Tsw)))^2)</f>
        <v>2.5053575810643354</v>
      </c>
      <c r="C6" t="s">
        <v>38</v>
      </c>
    </row>
    <row r="14" spans="1:3" hidden="1" x14ac:dyDescent="0.25">
      <c r="A14" t="s">
        <v>4</v>
      </c>
      <c r="C14" s="10">
        <f>B2*10^-6</f>
        <v>1E-3</v>
      </c>
    </row>
    <row r="15" spans="1:3" hidden="1" x14ac:dyDescent="0.25">
      <c r="A15" t="s">
        <v>5</v>
      </c>
      <c r="C15" s="10">
        <f>B3*10^-3</f>
        <v>0.01</v>
      </c>
    </row>
  </sheetData>
  <sheetProtection password="F725" sheet="1" objects="1" scenarios="1" selectLockedCells="1"/>
  <customSheetViews>
    <customSheetView guid="{25ED444C-8CCE-464F-9E26-1EDA12EA830D}">
      <selection activeCell="B5" sqref="B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C6"/>
  <sheetViews>
    <sheetView workbookViewId="0">
      <selection activeCell="B4" sqref="B4"/>
    </sheetView>
  </sheetViews>
  <sheetFormatPr defaultRowHeight="15" x14ac:dyDescent="0.25"/>
  <cols>
    <col min="1" max="1" width="26.7109375" customWidth="1"/>
  </cols>
  <sheetData>
    <row r="2" spans="1:3" x14ac:dyDescent="0.25">
      <c r="A2" t="s">
        <v>71</v>
      </c>
      <c r="B2" s="2"/>
      <c r="C2" s="1" t="s">
        <v>84</v>
      </c>
    </row>
    <row r="3" spans="1:3" x14ac:dyDescent="0.25">
      <c r="A3" t="s">
        <v>70</v>
      </c>
      <c r="B3" s="2"/>
      <c r="C3" t="s">
        <v>62</v>
      </c>
    </row>
    <row r="4" spans="1:3" x14ac:dyDescent="0.25">
      <c r="A4" t="s">
        <v>87</v>
      </c>
      <c r="B4" s="4"/>
      <c r="C4" t="s">
        <v>37</v>
      </c>
    </row>
    <row r="5" spans="1:3" x14ac:dyDescent="0.25">
      <c r="A5" t="s">
        <v>85</v>
      </c>
      <c r="B5" s="4"/>
      <c r="C5" t="s">
        <v>45</v>
      </c>
    </row>
    <row r="6" spans="1:3" x14ac:dyDescent="0.25">
      <c r="A6" t="s">
        <v>86</v>
      </c>
      <c r="B6" s="4"/>
      <c r="C6" t="s">
        <v>38</v>
      </c>
    </row>
  </sheetData>
  <customSheetViews>
    <customSheetView guid="{25ED444C-8CCE-464F-9E26-1EDA12EA830D}">
      <selection activeCell="A19" sqref="A1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5"/>
  <sheetViews>
    <sheetView workbookViewId="0">
      <selection activeCell="B1" sqref="B1"/>
    </sheetView>
  </sheetViews>
  <sheetFormatPr defaultRowHeight="15" x14ac:dyDescent="0.25"/>
  <cols>
    <col min="1" max="1" width="24" customWidth="1"/>
  </cols>
  <sheetData>
    <row r="1" spans="1:3" x14ac:dyDescent="0.25">
      <c r="A1" t="s">
        <v>78</v>
      </c>
      <c r="B1" s="2">
        <v>0.6</v>
      </c>
      <c r="C1" t="s">
        <v>37</v>
      </c>
    </row>
    <row r="2" spans="1:3" x14ac:dyDescent="0.25">
      <c r="A2" t="s">
        <v>80</v>
      </c>
      <c r="B2" s="4">
        <f>Vout</f>
        <v>10</v>
      </c>
      <c r="C2" t="s">
        <v>37</v>
      </c>
    </row>
    <row r="3" spans="1:3" x14ac:dyDescent="0.25">
      <c r="A3" t="s">
        <v>81</v>
      </c>
      <c r="B3" s="4">
        <f>Ioutmax</f>
        <v>2</v>
      </c>
      <c r="C3" t="s">
        <v>38</v>
      </c>
    </row>
    <row r="4" spans="1:3" x14ac:dyDescent="0.25">
      <c r="A4" t="s">
        <v>58</v>
      </c>
      <c r="B4" s="4">
        <f>IPeakL</f>
        <v>6.3398692810457513</v>
      </c>
      <c r="C4" t="s">
        <v>38</v>
      </c>
    </row>
    <row r="5" spans="1:3" x14ac:dyDescent="0.25">
      <c r="A5" t="s">
        <v>79</v>
      </c>
      <c r="B5" s="4">
        <f>B3*Vf</f>
        <v>1.2</v>
      </c>
      <c r="C5" t="s">
        <v>68</v>
      </c>
    </row>
  </sheetData>
  <sheetProtection password="F725" sheet="1" objects="1" scenarios="1" selectLockedCells="1"/>
  <customSheetViews>
    <customSheetView guid="{25ED444C-8CCE-464F-9E26-1EDA12EA830D}">
      <selection activeCell="B6" sqref="B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8"/>
  <sheetViews>
    <sheetView workbookViewId="0">
      <selection activeCell="B1" sqref="B1"/>
    </sheetView>
  </sheetViews>
  <sheetFormatPr defaultRowHeight="15" x14ac:dyDescent="0.25"/>
  <cols>
    <col min="1" max="1" width="21.28515625" customWidth="1"/>
  </cols>
  <sheetData>
    <row r="1" spans="1:4" x14ac:dyDescent="0.25">
      <c r="A1" t="s">
        <v>74</v>
      </c>
      <c r="B1" s="2">
        <v>50</v>
      </c>
      <c r="C1" t="s">
        <v>88</v>
      </c>
      <c r="D1" t="str">
        <f>IF(B1*10^-9*Fsw_max*10^3&gt;25*10^-3,"Gate Charge is higher than vdrv capability at this frequency", "")</f>
        <v/>
      </c>
    </row>
    <row r="2" spans="1:4" x14ac:dyDescent="0.25">
      <c r="A2" t="s">
        <v>77</v>
      </c>
      <c r="B2" s="2">
        <v>100</v>
      </c>
      <c r="C2" t="s">
        <v>62</v>
      </c>
    </row>
    <row r="3" spans="1:4" x14ac:dyDescent="0.25">
      <c r="A3" t="s">
        <v>72</v>
      </c>
      <c r="B3" s="4">
        <f>MAX(Vout+Vf,Vin_max)</f>
        <v>10.6</v>
      </c>
      <c r="C3" t="s">
        <v>37</v>
      </c>
    </row>
    <row r="4" spans="1:4" x14ac:dyDescent="0.25">
      <c r="A4" t="s">
        <v>89</v>
      </c>
      <c r="B4" s="2">
        <v>50</v>
      </c>
      <c r="C4" t="s">
        <v>91</v>
      </c>
    </row>
    <row r="5" spans="1:4" x14ac:dyDescent="0.25">
      <c r="A5" t="s">
        <v>90</v>
      </c>
      <c r="B5" s="2">
        <v>50</v>
      </c>
      <c r="C5" t="s">
        <v>91</v>
      </c>
    </row>
    <row r="6" spans="1:4" x14ac:dyDescent="0.25">
      <c r="A6" t="s">
        <v>75</v>
      </c>
      <c r="B6" s="4">
        <f>(B4*10^-9*(IavgL-Iripple/2)+B5*10^-9*(IavgL+Iripple/2))*Fsw_min*10^3*Vin_max</f>
        <v>0.76500000000000001</v>
      </c>
      <c r="C6" t="s">
        <v>68</v>
      </c>
    </row>
    <row r="7" spans="1:4" x14ac:dyDescent="0.25">
      <c r="A7" t="s">
        <v>76</v>
      </c>
      <c r="B7" s="4">
        <f>IrmsL^2*Dconv_max*B2*10^-3</f>
        <v>1.901063693451237</v>
      </c>
      <c r="C7" t="s">
        <v>68</v>
      </c>
    </row>
    <row r="8" spans="1:4" x14ac:dyDescent="0.25">
      <c r="A8" t="s">
        <v>73</v>
      </c>
      <c r="B8" s="4">
        <f>B7+B6</f>
        <v>2.6660636934512372</v>
      </c>
      <c r="C8" t="s">
        <v>68</v>
      </c>
    </row>
  </sheetData>
  <sheetProtection password="F725" sheet="1" objects="1" scenarios="1" selectLockedCells="1"/>
  <customSheetViews>
    <customSheetView guid="{25ED444C-8CCE-464F-9E26-1EDA12EA830D}">
      <selection activeCell="B9" sqref="B9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37</vt:i4>
      </vt:variant>
    </vt:vector>
  </HeadingPairs>
  <TitlesOfParts>
    <vt:vector size="49" baseType="lpstr">
      <vt:lpstr>1. Introduction</vt:lpstr>
      <vt:lpstr>2. Design Parameters</vt:lpstr>
      <vt:lpstr>3. Feedback Resistors</vt:lpstr>
      <vt:lpstr>4. Boost Inductor</vt:lpstr>
      <vt:lpstr>5. Current Sense Resistor</vt:lpstr>
      <vt:lpstr>6. Output Capacitors</vt:lpstr>
      <vt:lpstr>Input Capacitor</vt:lpstr>
      <vt:lpstr>7. Diode</vt:lpstr>
      <vt:lpstr>8. MOSFET</vt:lpstr>
      <vt:lpstr>9. Loop Compensation</vt:lpstr>
      <vt:lpstr>Design Information</vt:lpstr>
      <vt:lpstr>Calculations</vt:lpstr>
      <vt:lpstr>C0</vt:lpstr>
      <vt:lpstr>comp_C1</vt:lpstr>
      <vt:lpstr>comp_C2</vt:lpstr>
      <vt:lpstr>comp_R2</vt:lpstr>
      <vt:lpstr>Dconv_max</vt:lpstr>
      <vt:lpstr>Dmax_min</vt:lpstr>
      <vt:lpstr>Dmax_nom</vt:lpstr>
      <vt:lpstr>Fsw_max</vt:lpstr>
      <vt:lpstr>Fsw_min</vt:lpstr>
      <vt:lpstr>Fsw_nom</vt:lpstr>
      <vt:lpstr>gm</vt:lpstr>
      <vt:lpstr>IavgL</vt:lpstr>
      <vt:lpstr>Ioutmax</vt:lpstr>
      <vt:lpstr>IPeakL</vt:lpstr>
      <vt:lpstr>Iripple</vt:lpstr>
      <vt:lpstr>IrmsL</vt:lpstr>
      <vt:lpstr>Lo</vt:lpstr>
      <vt:lpstr>R0</vt:lpstr>
      <vt:lpstr>Rlower</vt:lpstr>
      <vt:lpstr>Rotaesd</vt:lpstr>
      <vt:lpstr>Rout</vt:lpstr>
      <vt:lpstr>Rupper</vt:lpstr>
      <vt:lpstr>SC_nom</vt:lpstr>
      <vt:lpstr>Tsw</vt:lpstr>
      <vt:lpstr>vcl_max</vt:lpstr>
      <vt:lpstr>vcl_min</vt:lpstr>
      <vt:lpstr>vcl_nom</vt:lpstr>
      <vt:lpstr>Vdrv_nom</vt:lpstr>
      <vt:lpstr>Vf</vt:lpstr>
      <vt:lpstr>Vin_max</vt:lpstr>
      <vt:lpstr>Vin_min</vt:lpstr>
      <vt:lpstr>Vin_nominal</vt:lpstr>
      <vt:lpstr>Vout</vt:lpstr>
      <vt:lpstr>wp1e</vt:lpstr>
      <vt:lpstr>wp2e</vt:lpstr>
      <vt:lpstr>wz1e</vt:lpstr>
      <vt:lpstr>wz2e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Laprade</dc:creator>
  <cp:lastModifiedBy>Alain Laprade</cp:lastModifiedBy>
  <dcterms:created xsi:type="dcterms:W3CDTF">2006-09-16T00:00:00Z</dcterms:created>
  <dcterms:modified xsi:type="dcterms:W3CDTF">2019-06-19T19:09:43Z</dcterms:modified>
</cp:coreProperties>
</file>